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cQxcTYZjM9aI7WyHxkvcFObABgUF8plCA0yCSHbv29iw0SoPmVhYfjTuP/3wk/4a4fuHX/yvHatH8Dok7/jjdg==" workbookSaltValue="ROUWnsO0ylQp411JLfVi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V10" i="21" s="1"/>
  <c r="E15" i="6"/>
  <c r="F10" i="10"/>
  <c r="D11" i="2"/>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C17" i="6"/>
  <c r="AL11" i="11"/>
  <c r="B17" i="6"/>
  <c r="AO9" i="11"/>
  <c r="AO12" i="11"/>
  <c r="L12" i="14"/>
  <c r="B12" i="6"/>
  <c r="AO12" i="17"/>
  <c r="E11" i="6"/>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AY13" i="8"/>
  <c r="BD12" i="8"/>
  <c r="H12" i="7" s="1"/>
  <c r="BG15" i="8"/>
  <c r="BD9" i="8"/>
  <c r="BE9" i="8"/>
  <c r="BA13"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O16" i="11"/>
  <c r="C18" i="7"/>
  <c r="T19" i="8"/>
  <c r="AW18" i="21"/>
  <c r="C11" i="6"/>
  <c r="B9" i="6"/>
  <c r="H12" i="2"/>
  <c r="M18" i="2"/>
  <c r="N18" i="2"/>
  <c r="BF11" i="8"/>
  <c r="C10" i="6"/>
  <c r="BD15" i="8"/>
  <c r="H15" i="7" s="1"/>
  <c r="BE15" i="8"/>
  <c r="BG16" i="8"/>
  <c r="K16" i="7" s="1"/>
  <c r="E18" i="2"/>
  <c r="F18" i="2" s="1"/>
  <c r="AL15" i="11"/>
  <c r="L16" i="14"/>
  <c r="F15" i="11"/>
  <c r="F16" i="17"/>
  <c r="F18" i="17" s="1"/>
  <c r="D11" i="12"/>
  <c r="D12" i="12"/>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F18" i="11" l="1"/>
  <c r="D19" i="12"/>
  <c r="AQ16" i="17"/>
  <c r="AL18" i="11"/>
  <c r="I12" i="12"/>
  <c r="I10" i="12"/>
  <c r="B19" i="7"/>
  <c r="H13" i="2"/>
  <c r="C18" i="6"/>
  <c r="AS16" i="20"/>
  <c r="B18" i="6"/>
  <c r="G21" i="11"/>
  <c r="AM13" i="11"/>
  <c r="Y13" i="11"/>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<sst xmlns="http://schemas.openxmlformats.org/spreadsheetml/2006/main" count="2102" uniqueCount="918">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</sst>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OGksXnCACbfdeRE5Rcn6qlZNzwB/JohXDwTzFievIOYLyF3X1tFlHpIUtXRn1BBqTRE675vR7MMGdwo8aYqBQ==" saltValue="rRX57pnv0XAix6bzGVI/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1</v>
      </c>
      <c r="F10" s="225">
        <f>IF(ISNUMBER(Datos!K10),Datos!K10," - ")</f>
        <v>0</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7.1428571428571425E-2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59.43230016313214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2516</v>
      </c>
      <c r="D16" s="224">
        <f>IF(ISNUMBER(IF(D_I="SI",Datos!I16,Datos!I16+Datos!AC16)),IF(D_I="SI",Datos!I16,Datos!I16+Datos!AC16)," - ")</f>
        <v>2516</v>
      </c>
      <c r="E16" s="225">
        <f>IF(ISNUMBER(IF(D_I="SI",Datos!J16,Datos!J16+Datos!AD16)),IF(D_I="SI",Datos!J16,Datos!J16+Datos!AD16)," - ")</f>
        <v>1495</v>
      </c>
      <c r="F16" s="225">
        <f>IF(ISNUMBER(IF(D_I="SI",Datos!K16,Datos!K16+Datos!AE16)),IF(D_I="SI",Datos!K16,Datos!K16+Datos!AE16)," - ")</f>
        <v>956</v>
      </c>
      <c r="G16" s="1033" t="str">
        <f>IF(Datos!E16&lt;&gt;"",Datos!E16,Datos!D16)</f>
        <v>04</v>
      </c>
      <c r="H16" s="226">
        <f>IF(ISNUMBER(IF(D_I="SI",Datos!L16,Datos!L16+Datos!AF16)),IF(D_I="SI",Datos!L16,Datos!L16+Datos!AF16)," - ")</f>
        <v>3055</v>
      </c>
      <c r="I16" s="1043" t="str">
        <f>IF(ISNUMBER(Datos!AS16/Datos!BM16),Datos!AS16/Datos!BM16," - ")</f>
        <v xml:space="preserve"> - </v>
      </c>
      <c r="J16" s="1044">
        <f>IF(ISNUMBER(Datos!BY16/Datos!CN16),Datos!BY16/Datos!CN16," - ")</f>
        <v>0</v>
      </c>
      <c r="K16" s="229">
        <f t="shared" si="3"/>
        <v>0.21422893481717012</v>
      </c>
      <c r="L16" s="1024">
        <f>IF(ISNUMBER(NºAsuntos!I16/NºAsuntos!G16),(NºAsuntos!I16/NºAsuntos!G16)*11," - ")</f>
        <v>35.151673640167367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65</v>
      </c>
      <c r="D17" s="224">
        <f>IF(ISNUMBER(IF(D_I="SI",Datos!I17,Datos!I17+Datos!AC17)),IF(D_I="SI",Datos!I17,Datos!I17+Datos!AC17)," - ")</f>
        <v>65</v>
      </c>
      <c r="E17" s="225">
        <f>IF(ISNUMBER(IF(D_I="SI",Datos!J17,Datos!J17+Datos!AD17)),IF(D_I="SI",Datos!J17,Datos!J17+Datos!AD17)," - ")</f>
        <v>46</v>
      </c>
      <c r="F17" s="225">
        <f>IF(ISNUMBER(IF(D_I="SI",Datos!K17,Datos!K17+Datos!AE17)),IF(D_I="SI",Datos!K17,Datos!K17+Datos!AE17)," - ")</f>
        <v>41</v>
      </c>
      <c r="G17" s="1033" t="str">
        <f>IF(Datos!E17&lt;&gt;"",Datos!E17,Datos!D17)</f>
        <v>37</v>
      </c>
      <c r="H17" s="226">
        <f>IF(ISNUMBER(IF(D_I="SI",Datos!L17,Datos!L17+Datos!AF17)),IF(D_I="SI",Datos!L17,Datos!L17+Datos!AF17)," - ")</f>
        <v>70</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18.780487804878049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2581</v>
      </c>
      <c r="D18" s="1048">
        <f>SUBTOTAL(9,D15:D17)</f>
        <v>2581</v>
      </c>
      <c r="E18" s="1049">
        <f>SUBTOTAL(9,E15:E17)</f>
        <v>1541</v>
      </c>
      <c r="F18" s="1049">
        <f>SUBTOTAL(9,F15:F17)</f>
        <v>997</v>
      </c>
      <c r="G18" s="1051" t="str">
        <f ca="1">INDIRECT(CONCATENATE("G",ROW()-1))</f>
        <v>37</v>
      </c>
      <c r="H18" s="1052">
        <f ca="1">SUMIF(G$14:G17,G18,H$14:H17)</f>
        <v>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2595</v>
      </c>
      <c r="D19" s="1070">
        <f>SUBTOTAL(9,D9:D18)</f>
        <v>2595</v>
      </c>
      <c r="E19" s="1071">
        <f>SUBTOTAL(9,E9:E18)</f>
        <v>1542</v>
      </c>
      <c r="F19" s="1071">
        <f>SUBTOTAL(9,F9:F18)</f>
        <v>997</v>
      </c>
      <c r="G19" s="1072"/>
      <c r="H19" s="1073">
        <f ca="1">SUMIF(B9:B18,"TOTAL",H9:H18)</f>
        <v>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C5npH1nL65z2mY2sABJ3KFVjzEIzLXLy5nLLEZMaBXsOPXDNtlZ83MqJKNuKpZDhYYMZDyBEAANx0rLGxKzAg==" saltValue="w68mk/ujA6nBN4F6RAmQ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MgJqjCXJzL8g+oH+FW+yEl96Z3/BoCcV9+64o8mplwH04RDu0F3nSZCflj/5rbyYCdxqxj9eCLkXZFEFF/mzA==" saltValue="W8LD/PZQGkXCguAV2CcV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v>
      </c>
      <c r="K10" s="180">
        <v>0</v>
      </c>
      <c r="L10" s="180">
        <v>15</v>
      </c>
      <c r="M10" s="180">
        <v>0</v>
      </c>
      <c r="N10" s="180">
        <v>0</v>
      </c>
      <c r="O10" s="180">
        <v>0</v>
      </c>
      <c r="P10" s="180">
        <v>0</v>
      </c>
      <c r="Q10" s="180">
        <v>0</v>
      </c>
      <c r="R10" s="180">
        <v>4</v>
      </c>
      <c r="S10" s="180">
        <v>10</v>
      </c>
      <c r="T10" s="180">
        <v>1</v>
      </c>
      <c r="U10" s="180">
        <v>0</v>
      </c>
      <c r="V10" s="180">
        <v>11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3145</v>
      </c>
      <c r="J12" s="182">
        <v>562</v>
      </c>
      <c r="K12" s="182">
        <v>568</v>
      </c>
      <c r="L12" s="182">
        <v>3139</v>
      </c>
      <c r="M12" s="182">
        <v>121</v>
      </c>
      <c r="N12" s="182">
        <v>233</v>
      </c>
      <c r="O12" s="180">
        <v>333</v>
      </c>
      <c r="P12" s="182">
        <v>209</v>
      </c>
      <c r="Q12" s="182">
        <v>83</v>
      </c>
      <c r="R12" s="182">
        <v>4054</v>
      </c>
      <c r="S12" s="182">
        <v>2838</v>
      </c>
      <c r="T12" s="182">
        <v>871</v>
      </c>
      <c r="U12" s="182">
        <v>793</v>
      </c>
      <c r="V12" s="182">
        <v>2917</v>
      </c>
      <c r="W12" s="182">
        <v>262</v>
      </c>
      <c r="X12" s="188">
        <v>327</v>
      </c>
      <c r="Y12" s="190">
        <v>172</v>
      </c>
      <c r="Z12" s="180">
        <v>46</v>
      </c>
      <c r="AA12" s="180">
        <v>45</v>
      </c>
      <c r="AB12" s="180">
        <v>173</v>
      </c>
      <c r="AC12" s="182">
        <v>0</v>
      </c>
      <c r="AD12" s="182">
        <v>0</v>
      </c>
      <c r="AE12" s="182">
        <v>0</v>
      </c>
      <c r="AF12" s="188">
        <v>0</v>
      </c>
      <c r="AG12" s="201">
        <v>171</v>
      </c>
      <c r="AH12" s="182">
        <v>35</v>
      </c>
      <c r="AI12" s="182">
        <v>47</v>
      </c>
      <c r="AJ12" s="202">
        <v>158</v>
      </c>
      <c r="AK12" s="181">
        <v>0</v>
      </c>
      <c r="AL12" s="182">
        <v>0</v>
      </c>
      <c r="AM12" s="182">
        <v>0</v>
      </c>
      <c r="AN12" s="188">
        <v>0</v>
      </c>
      <c r="AO12" s="258">
        <v>3</v>
      </c>
      <c r="AP12" s="154">
        <v>3</v>
      </c>
      <c r="AQ12" s="154">
        <v>3</v>
      </c>
      <c r="AR12" s="153">
        <v>3</v>
      </c>
      <c r="AS12" s="339" t="s">
        <v>794</v>
      </c>
      <c r="AT12" s="202"/>
      <c r="AU12" s="201"/>
      <c r="AV12" s="202"/>
      <c r="AW12" s="201"/>
      <c r="AX12" s="202"/>
      <c r="AY12" s="126">
        <f t="shared" si="1"/>
        <v>3009</v>
      </c>
      <c r="AZ12" s="127">
        <f t="shared" si="1"/>
        <v>906</v>
      </c>
      <c r="BA12" s="127">
        <f t="shared" si="1"/>
        <v>840</v>
      </c>
      <c r="BB12" s="127">
        <f t="shared" si="1"/>
        <v>3075</v>
      </c>
      <c r="BC12" s="125">
        <f>IF(ISNUMBER(X12),X12," - ")</f>
        <v>327</v>
      </c>
      <c r="BD12" s="126">
        <f t="shared" si="2"/>
        <v>0.92715231788079466</v>
      </c>
      <c r="BE12" s="127">
        <f t="shared" si="3"/>
        <v>3.6607142857142856</v>
      </c>
      <c r="BF12" s="127">
        <f t="shared" si="4"/>
        <v>0.38928571428571429</v>
      </c>
      <c r="BG12" s="195">
        <f t="shared" si="5"/>
        <v>4.6607142857142856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3159</v>
      </c>
      <c r="J13" s="183">
        <f t="shared" si="6"/>
        <v>563</v>
      </c>
      <c r="K13" s="183">
        <f t="shared" si="6"/>
        <v>568</v>
      </c>
      <c r="L13" s="183">
        <f t="shared" si="6"/>
        <v>3154</v>
      </c>
      <c r="M13" s="183">
        <f t="shared" si="6"/>
        <v>121</v>
      </c>
      <c r="N13" s="183">
        <f t="shared" si="6"/>
        <v>233</v>
      </c>
      <c r="O13" s="183">
        <f t="shared" si="6"/>
        <v>333</v>
      </c>
      <c r="P13" s="183">
        <f t="shared" si="6"/>
        <v>209</v>
      </c>
      <c r="Q13" s="183">
        <f t="shared" si="6"/>
        <v>83</v>
      </c>
      <c r="R13" s="183">
        <f t="shared" si="6"/>
        <v>4058</v>
      </c>
      <c r="S13" s="183">
        <f t="shared" si="6"/>
        <v>2848</v>
      </c>
      <c r="T13" s="183">
        <f t="shared" si="6"/>
        <v>872</v>
      </c>
      <c r="U13" s="183">
        <f t="shared" si="6"/>
        <v>793</v>
      </c>
      <c r="V13" s="183">
        <f t="shared" si="6"/>
        <v>2928</v>
      </c>
      <c r="W13" s="183">
        <f t="shared" si="6"/>
        <v>262</v>
      </c>
      <c r="X13" s="183">
        <f t="shared" si="6"/>
        <v>327</v>
      </c>
      <c r="Y13" s="183">
        <f t="shared" si="6"/>
        <v>172</v>
      </c>
      <c r="Z13" s="183">
        <f t="shared" si="6"/>
        <v>46</v>
      </c>
      <c r="AA13" s="183">
        <f t="shared" si="6"/>
        <v>45</v>
      </c>
      <c r="AB13" s="183">
        <f t="shared" si="6"/>
        <v>173</v>
      </c>
      <c r="AC13" s="183">
        <f t="shared" si="6"/>
        <v>0</v>
      </c>
      <c r="AD13" s="183">
        <f t="shared" si="6"/>
        <v>0</v>
      </c>
      <c r="AE13" s="183">
        <f t="shared" si="6"/>
        <v>0</v>
      </c>
      <c r="AF13" s="183">
        <f>SUBTOTAL(9,AF9:AF12)</f>
        <v>0</v>
      </c>
      <c r="AG13" s="183">
        <f t="shared" ref="AG13:AT13" si="7">SUBTOTAL(9,AG8:AG12)</f>
        <v>171</v>
      </c>
      <c r="AH13" s="183">
        <f t="shared" si="7"/>
        <v>35</v>
      </c>
      <c r="AI13" s="183">
        <f t="shared" si="7"/>
        <v>47</v>
      </c>
      <c r="AJ13" s="183">
        <f t="shared" si="7"/>
        <v>158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3019</v>
      </c>
      <c r="AZ13" s="183">
        <f>SUBTOTAL(9,AZ8:AZ12)</f>
        <v>907</v>
      </c>
      <c r="BA13" s="183">
        <f>SUBTOTAL(9,BA8:BA12)</f>
        <v>840</v>
      </c>
      <c r="BB13" s="183">
        <f>SUBTOTAL(9,BB8:BB12)</f>
        <v>3086</v>
      </c>
      <c r="BC13" s="183">
        <f>SUBTOTAL(9,BC8:BC12)</f>
        <v>327</v>
      </c>
      <c r="BD13" s="204">
        <f>IF(ISNUMBER(BA13/AZ13),BA13/AZ13," - ")</f>
        <v>0.92613009922822487</v>
      </c>
      <c r="BE13" s="205">
        <f>IF(ISNUMBER(BB13/BA13),BB13/BA13, " - ")</f>
        <v>3.6738095238095236</v>
      </c>
      <c r="BF13" s="205">
        <f>IF(ISNUMBER(BC13/BA13),BC13/BA13, " - ")</f>
        <v>0.38928571428571429</v>
      </c>
      <c r="BG13" s="206">
        <f>IF(ISNUMBER((AY13+AZ13)/BA13),(AY13+AZ13)/BA13," - ")</f>
        <v>4.6738095238095241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2516</v>
      </c>
      <c r="J16" s="182">
        <v>1495</v>
      </c>
      <c r="K16" s="182">
        <v>956</v>
      </c>
      <c r="L16" s="182">
        <v>3055</v>
      </c>
      <c r="M16" s="182">
        <v>74</v>
      </c>
      <c r="N16" s="182">
        <v>741</v>
      </c>
      <c r="O16" s="180">
        <v>0</v>
      </c>
      <c r="P16" s="182">
        <v>19</v>
      </c>
      <c r="Q16" s="182">
        <v>20</v>
      </c>
      <c r="R16" s="182">
        <v>210</v>
      </c>
      <c r="S16" s="182">
        <v>2496</v>
      </c>
      <c r="T16" s="182">
        <v>953</v>
      </c>
      <c r="U16" s="182">
        <v>1224</v>
      </c>
      <c r="V16" s="182">
        <v>2218</v>
      </c>
      <c r="W16" s="182">
        <v>117</v>
      </c>
      <c r="X16" s="188">
        <v>973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2496</v>
      </c>
      <c r="AZ16" s="127">
        <f t="shared" si="9"/>
        <v>953</v>
      </c>
      <c r="BA16" s="127">
        <f t="shared" si="9"/>
        <v>1224</v>
      </c>
      <c r="BB16" s="127">
        <f t="shared" si="9"/>
        <v>2218</v>
      </c>
      <c r="BC16" s="125">
        <f>IF(ISNUMBER(W16),W16," - ")</f>
        <v>117</v>
      </c>
      <c r="BD16" s="126">
        <f t="shared" ref="BD16" si="11">IF(ISNUMBER(BA16/AZ16),BA16/AZ16," - ")</f>
        <v>1.2843651626442811</v>
      </c>
      <c r="BE16" s="127">
        <f t="shared" ref="BE16" si="12">IF(ISNUMBER(BB16/BA16),BB16/BA16, " - ")</f>
        <v>1.8120915032679739</v>
      </c>
      <c r="BF16" s="127">
        <f t="shared" ref="BF16" si="13">IF(ISNUMBER(BC16/BA16),BC16/BA16, " - ")</f>
        <v>9.5588235294117641E-2</v>
      </c>
      <c r="BG16" s="195">
        <f t="shared" si="10"/>
        <v>2.8178104575163401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46</v>
      </c>
      <c r="K17" s="182">
        <v>41</v>
      </c>
      <c r="L17" s="182">
        <v>70</v>
      </c>
      <c r="M17" s="182">
        <v>2</v>
      </c>
      <c r="N17" s="182">
        <v>44</v>
      </c>
      <c r="O17" s="182">
        <v>0</v>
      </c>
      <c r="P17" s="182">
        <v>0</v>
      </c>
      <c r="Q17" s="182">
        <v>0</v>
      </c>
      <c r="R17" s="182">
        <v>0</v>
      </c>
      <c r="S17" s="182">
        <v>101</v>
      </c>
      <c r="T17" s="182">
        <v>46</v>
      </c>
      <c r="U17" s="182">
        <v>64</v>
      </c>
      <c r="V17" s="182">
        <v>83</v>
      </c>
      <c r="W17" s="182">
        <v>10</v>
      </c>
      <c r="X17" s="188">
        <v>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101</v>
      </c>
      <c r="AZ17" s="129">
        <f t="shared" si="14"/>
        <v>46</v>
      </c>
      <c r="BA17" s="129">
        <f t="shared" si="14"/>
        <v>64</v>
      </c>
      <c r="BB17" s="129">
        <f t="shared" si="14"/>
        <v>83</v>
      </c>
      <c r="BC17" s="125">
        <f>IF(ISNUMBER(W17),W17," - ")</f>
        <v>10</v>
      </c>
      <c r="BD17" s="126">
        <f>IF(ISNUMBER(BA17/AZ17),BA17/AZ17," - ")</f>
        <v>1.3913043478260869</v>
      </c>
      <c r="BE17" s="127">
        <f>IF(ISNUMBER(BB17/BA17),BB17/BA17, " - ")</f>
        <v>1.296875</v>
      </c>
      <c r="BF17" s="127">
        <f>IF(ISNUMBER(BC17/BA17),BC17/BA17, " - ")</f>
        <v>0.15625</v>
      </c>
      <c r="BG17" s="195">
        <f>IF(ISNUMBER((AY17+AZ17)/BA17),(AY17+AZ17)/BA17," - ")</f>
        <v>2.296875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2581</v>
      </c>
      <c r="J18" s="183">
        <f t="shared" si="15"/>
        <v>1541</v>
      </c>
      <c r="K18" s="183">
        <f t="shared" si="15"/>
        <v>997</v>
      </c>
      <c r="L18" s="183">
        <f t="shared" si="15"/>
        <v>3125</v>
      </c>
      <c r="M18" s="183">
        <f t="shared" si="15"/>
        <v>76</v>
      </c>
      <c r="N18" s="183">
        <f t="shared" si="15"/>
        <v>785</v>
      </c>
      <c r="O18" s="183">
        <f t="shared" si="15"/>
        <v>0</v>
      </c>
      <c r="P18" s="183">
        <f t="shared" si="15"/>
        <v>19</v>
      </c>
      <c r="Q18" s="183">
        <f t="shared" si="15"/>
        <v>20</v>
      </c>
      <c r="R18" s="183">
        <f t="shared" si="15"/>
        <v>210</v>
      </c>
      <c r="S18" s="183">
        <f t="shared" si="15"/>
        <v>2597</v>
      </c>
      <c r="T18" s="183">
        <f t="shared" si="15"/>
        <v>999</v>
      </c>
      <c r="U18" s="183">
        <f t="shared" si="15"/>
        <v>1288</v>
      </c>
      <c r="V18" s="183">
        <f t="shared" si="15"/>
        <v>2301</v>
      </c>
      <c r="W18" s="183">
        <f t="shared" si="15"/>
        <v>127</v>
      </c>
      <c r="X18" s="183">
        <f t="shared" si="15"/>
        <v>1031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2597</v>
      </c>
      <c r="AZ18" s="183">
        <f>SUBTOTAL(9,AZ14:AZ17)</f>
        <v>999</v>
      </c>
      <c r="BA18" s="183">
        <f>SUBTOTAL(9,BA14:BA17)</f>
        <v>1288</v>
      </c>
      <c r="BB18" s="183">
        <f>SUBTOTAL(9,BB14:BB17)</f>
        <v>2301</v>
      </c>
      <c r="BC18" s="183">
        <f>SUBTOTAL(9,BC14:BC17)</f>
        <v>127</v>
      </c>
      <c r="BD18" s="204">
        <f>IF(ISNUMBER(BA18/AZ18),BA18/AZ18," - ")</f>
        <v>1.2892892892892893</v>
      </c>
      <c r="BE18" s="205">
        <f>IF(ISNUMBER(BB18/BA18),BB18/BA18, " - ")</f>
        <v>1.7864906832298137</v>
      </c>
      <c r="BF18" s="205">
        <f>IF(ISNUMBER(BC18/BA18),BC18/BA18, " - ")</f>
        <v>9.8602484472049695E-2</v>
      </c>
      <c r="BG18" s="206">
        <f>IF(ISNUMBER((AY18+AZ18)/BA18),(AY18+AZ18)/BA18," - ")</f>
        <v>2.7919254658385095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5740</v>
      </c>
      <c r="J19" s="134">
        <f t="shared" si="18"/>
        <v>2104</v>
      </c>
      <c r="K19" s="134">
        <f t="shared" si="18"/>
        <v>1565</v>
      </c>
      <c r="L19" s="134">
        <f t="shared" si="18"/>
        <v>6279</v>
      </c>
      <c r="M19" s="134">
        <f t="shared" si="18"/>
        <v>197</v>
      </c>
      <c r="N19" s="134">
        <f t="shared" si="18"/>
        <v>1018</v>
      </c>
      <c r="O19" s="134">
        <f t="shared" si="18"/>
        <v>333</v>
      </c>
      <c r="P19" s="134">
        <f t="shared" si="18"/>
        <v>228</v>
      </c>
      <c r="Q19" s="134">
        <f t="shared" si="18"/>
        <v>103</v>
      </c>
      <c r="R19" s="134">
        <f t="shared" si="18"/>
        <v>4268</v>
      </c>
      <c r="S19" s="134">
        <f t="shared" si="18"/>
        <v>5445</v>
      </c>
      <c r="T19" s="134">
        <f t="shared" si="18"/>
        <v>1871</v>
      </c>
      <c r="U19" s="134">
        <f t="shared" si="18"/>
        <v>2081</v>
      </c>
      <c r="V19" s="134">
        <f t="shared" si="18"/>
        <v>5229</v>
      </c>
      <c r="W19" s="134">
        <f t="shared" si="18"/>
        <v>389</v>
      </c>
      <c r="X19" s="134">
        <f t="shared" si="18"/>
        <v>1358</v>
      </c>
      <c r="Y19" s="134">
        <f t="shared" si="18"/>
        <v>172</v>
      </c>
      <c r="Z19" s="134">
        <f t="shared" si="18"/>
        <v>46</v>
      </c>
      <c r="AA19" s="134">
        <f t="shared" si="18"/>
        <v>45</v>
      </c>
      <c r="AB19" s="134">
        <f t="shared" si="18"/>
        <v>173</v>
      </c>
      <c r="AC19" s="134">
        <f t="shared" si="18"/>
        <v>0</v>
      </c>
      <c r="AD19" s="134">
        <f t="shared" si="18"/>
        <v>0</v>
      </c>
      <c r="AE19" s="134">
        <f t="shared" si="18"/>
        <v>0</v>
      </c>
      <c r="AF19" s="134">
        <f t="shared" si="18"/>
        <v>0</v>
      </c>
      <c r="AG19" s="134">
        <f t="shared" si="18"/>
        <v>171</v>
      </c>
      <c r="AH19" s="134">
        <f t="shared" si="18"/>
        <v>35</v>
      </c>
      <c r="AI19" s="134">
        <f t="shared" si="18"/>
        <v>47</v>
      </c>
      <c r="AJ19" s="134">
        <f t="shared" si="18"/>
        <v>158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5616</v>
      </c>
      <c r="AZ19" s="134">
        <f>SUBTOTAL(9,AZ9:AZ18)</f>
        <v>1906</v>
      </c>
      <c r="BA19" s="134">
        <f>SUBTOTAL(9,BA9:BA18)</f>
        <v>2128</v>
      </c>
      <c r="BB19" s="134">
        <f>SUBTOTAL(9,BB9:BB18)</f>
        <v>5387</v>
      </c>
      <c r="BC19" s="135">
        <f>SUBTOTAL(9,BC9:BC18)</f>
        <v>454</v>
      </c>
      <c r="BD19" s="212">
        <f>IF(ISNUMBER(BA19/AZ19),BA19/AZ19," - ")</f>
        <v>1.1164742917103883</v>
      </c>
      <c r="BE19" s="209">
        <f>IF(ISNUMBER(BB19/BA19),BB19/BA19, " - ")</f>
        <v>2.5314849624060152</v>
      </c>
      <c r="BF19" s="209">
        <f>IF(ISNUMBER(BC19/BA19),BC19/BA19, " - ")</f>
        <v>0.21334586466165414</v>
      </c>
      <c r="BG19" s="135">
        <f>IF(ISNUMBER((AY19+AZ19)/BA19),(AY19+AZ19)/BA19," - ")</f>
        <v>3.5347744360902253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7n7h56EdCRe3n/xzLUrdZLkCkcRuDL/Yl+4uUaxO2RdEPnuTQbqwwBKRA0sS+EAv1+30csBgnoSkr+QAdOmg==" saltValue="QUVa4/I7LXXLAOcvlr/7/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XGEqbcdWcZmRDSvTkhqfzUVtCURKiPbAbkn26KMPz0Fcml+kLwR+JV5m4U/Fa7LDP3RrNZ7QhLXrNmFsuhg==" saltValue="VP62xZKvmM6Wa6WhYljU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15</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209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173</v>
      </c>
      <c r="AI12" s="333" t="str">
        <f>IF(ISNUMBER(Datos!CD12),Datos!CD12,"-")</f>
        <v>-</v>
      </c>
      <c r="AJ12" s="333" t="str">
        <f>IF(ISNUMBER(Datos!EN12),Datos!EN12," - ")</f>
        <v xml:space="preserve"> - </v>
      </c>
      <c r="AK12" s="333"/>
      <c r="AL12" s="478"/>
      <c r="AM12" s="334">
        <f>IF(ISNUMBER(Datos!R12),Datos!R12," - ")</f>
        <v>4054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121</v>
      </c>
      <c r="BD12" s="228">
        <f>IF(ISNUMBER(Datos!N12),Datos!N12," - ")</f>
        <v>233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1.0082236842105263</v>
      </c>
      <c r="BH12" s="259">
        <f>IF(ISNUMBER(((IF(J_V="SI",Datos!L12/Datos!K12,(Datos!L12+Datos!AB12)/(Datos!K12+Datos!AA12)))*11)/factor_trimestre),((IF(J_V="SI",Datos!L12/Datos!K12,(Datos!L12+Datos!AB12)/(Datos!K12+Datos!AA12)))*11)/factor_trimestre," - ")</f>
        <v>16.208809135399676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3.2077393075356418E-2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209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83</v>
      </c>
      <c r="AD13" s="898">
        <f t="shared" si="1"/>
        <v>0</v>
      </c>
      <c r="AE13" s="898">
        <f t="shared" si="1"/>
        <v>0</v>
      </c>
      <c r="AF13" s="898">
        <f t="shared" si="1"/>
        <v>15</v>
      </c>
      <c r="AG13" s="898">
        <f t="shared" si="1"/>
        <v>0</v>
      </c>
      <c r="AH13" s="898">
        <f t="shared" si="1"/>
        <v>173</v>
      </c>
      <c r="AI13" s="898">
        <f t="shared" si="1"/>
        <v>0</v>
      </c>
      <c r="AJ13" s="898">
        <f t="shared" si="1"/>
        <v>0</v>
      </c>
      <c r="AK13" s="898">
        <f t="shared" si="1"/>
        <v>0</v>
      </c>
      <c r="AL13" s="898">
        <f t="shared" si="1"/>
        <v>0</v>
      </c>
      <c r="AM13" s="898">
        <f t="shared" si="1"/>
        <v>4058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121</v>
      </c>
      <c r="BD13" s="898">
        <f t="shared" si="1"/>
        <v>233</v>
      </c>
      <c r="BE13" s="898">
        <f t="shared" si="1"/>
        <v>0</v>
      </c>
      <c r="BF13" s="898">
        <f t="shared" si="1"/>
        <v>0</v>
      </c>
      <c r="BG13" s="898">
        <f>IF(ISNUMBER(Datos!K13/Datos!J13),Datos!K13/Datos!J13," - ")</f>
        <v>1.0088809946714032</v>
      </c>
      <c r="BH13" s="902">
        <f>IF(ISNUMBER(((Datos!L13/Datos!K13)*11)/factor_trimestre),((Datos!L13/Datos!K13)*11)/factor_trimestre," - ")</f>
        <v>16.658450704225352</v>
      </c>
      <c r="BI13" s="898">
        <f>IF(ISNUMBER('Resol  Asuntos'!D13/NºAsuntos!G13),'Resol  Asuntos'!D13/NºAsuntos!G13," - ")</f>
        <v>0.19738988580750408</v>
      </c>
      <c r="BJ13" s="898" t="str">
        <f>IF(ISNUMBER(Datos!CI13/Datos!CJ13),Datos!CI13/Datos!CJ13," - ")</f>
        <v xml:space="preserve"> - </v>
      </c>
      <c r="BK13" s="898">
        <f>SUBTOTAL(9,BK8:BK12)</f>
        <v>0</v>
      </c>
      <c r="BL13" s="898">
        <f>IF(ISNUMBER((I13-AB13+L13)/(F13)),(I13-AB13+L13)/(F13)," - ")</f>
        <v>0</v>
      </c>
      <c r="BM13" s="903">
        <f>SUBTOTAL(9,BM9:BM12)</f>
        <v>3.2077393075356418E-2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2516</v>
      </c>
      <c r="G16" s="597">
        <f>IF(ISNUMBER(IF(D_I="SI",Datos!I16,Datos!I16+Datos!AC16)),IF(D_I="SI",Datos!I16,Datos!I16+Datos!AC16)," - ")</f>
        <v>2516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956</v>
      </c>
      <c r="AC16" s="225">
        <f>IF(ISNUMBER(Datos!Q16),Datos!Q16," - ")</f>
        <v>20</v>
      </c>
      <c r="AD16" s="333"/>
      <c r="AE16" s="483"/>
      <c r="AF16" s="595">
        <f>IF(ISNUMBER(IF(D_I="SI",Datos!L16,Datos!L16+Datos!AF16)),IF(D_I="SI",Datos!L16,Datos!L16+Datos!AF16)," - ")</f>
        <v>3055</v>
      </c>
      <c r="AG16" s="333"/>
      <c r="AH16" s="333"/>
      <c r="AI16" s="333"/>
      <c r="AJ16" s="333"/>
      <c r="AK16" s="333"/>
      <c r="AL16" s="478"/>
      <c r="AM16" s="334">
        <f>IF(ISNUMBER(Datos!R16),Datos!R16," - ")</f>
        <v>210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74</v>
      </c>
      <c r="BD16" s="228">
        <f>IF(ISNUMBER(Datos!N16),Datos!N16," - ")</f>
        <v>741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0.63946488294314385</v>
      </c>
      <c r="BH16" s="259">
        <f>IF(ISNUMBER(((IF(D_I="SI",Datos!L16/Datos!K16,(Datos!L16+Datos!AF16)/(Datos!K16+Datos!AE16)))*11)/factor_trimestre),((IF(D_I="SI",Datos!L16/Datos!K16,(Datos!L16+Datos!AF16)/(Datos!K16+Datos!AE16)))*11)/factor_trimestre," - ")</f>
        <v>9.5868200836820101</v>
      </c>
      <c r="BI16" s="242">
        <f>IF(ISNUMBER('Resol  Asuntos'!D16/NºAsuntos!G16),'Resol  Asuntos'!D16/NºAsuntos!G16," - ")</f>
        <v>7.7405857740585768E-2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v>
      </c>
      <c r="AC17" s="225">
        <f>IF(ISNUMBER(Datos!Q17),Datos!Q17," - ")</f>
        <v>0</v>
      </c>
      <c r="AD17" s="333"/>
      <c r="AE17" s="483"/>
      <c r="AF17" s="331">
        <f>IF(ISNUMBER(Datos!L17),Datos!L17,"-")</f>
        <v>70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0.89130434782608692</v>
      </c>
      <c r="BH17" s="259">
        <f>IF(ISNUMBER(((IF(D_I="SI",Datos!L17/Datos!K17,(Datos!L17+Datos!AF17)/(Datos!K17+Datos!AE17)))*11)/factor_trimestre),((IF(D_I="SI",Datos!L17/Datos!K17,(Datos!L17+Datos!AF17)/(Datos!K17+Datos!AE17)))*11)/factor_trimestre," - ")</f>
        <v>5.1219512195121952</v>
      </c>
      <c r="BI17" s="242">
        <f>IF(ISNUMBER('Resol  Asuntos'!D17/NºAsuntos!G17),'Resol  Asuntos'!D17/NºAsuntos!G17," - ")</f>
        <v>4.878048780487805E-2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2516</v>
      </c>
      <c r="G18" s="897">
        <f>SUBTOTAL(9,G15:G17)</f>
        <v>2581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997</v>
      </c>
      <c r="AC18" s="898">
        <f t="shared" si="4"/>
        <v>20</v>
      </c>
      <c r="AD18" s="898">
        <f t="shared" si="4"/>
        <v>0</v>
      </c>
      <c r="AE18" s="898">
        <f t="shared" si="4"/>
        <v>0</v>
      </c>
      <c r="AF18" s="898">
        <f t="shared" si="4"/>
        <v>3125</v>
      </c>
      <c r="AG18" s="898">
        <f t="shared" si="4"/>
        <v>0</v>
      </c>
      <c r="AH18" s="898">
        <f t="shared" si="4"/>
        <v>0</v>
      </c>
      <c r="AI18" s="898">
        <f t="shared" si="4"/>
        <v>0</v>
      </c>
      <c r="AJ18" s="898">
        <f t="shared" si="4"/>
        <v>0</v>
      </c>
      <c r="AK18" s="898">
        <f t="shared" si="4"/>
        <v>0</v>
      </c>
      <c r="AL18" s="898">
        <f t="shared" si="4"/>
        <v>0</v>
      </c>
      <c r="AM18" s="898">
        <f t="shared" si="4"/>
        <v>210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76</v>
      </c>
      <c r="BD18" s="898">
        <f t="shared" si="4"/>
        <v>785</v>
      </c>
      <c r="BE18" s="898">
        <f t="shared" si="4"/>
        <v>0</v>
      </c>
      <c r="BF18" s="898">
        <f t="shared" si="4"/>
        <v>0</v>
      </c>
      <c r="BG18" s="898">
        <f>IF(ISNUMBER(Datos!K18/Datos!J18),Datos!K18/Datos!J18," - ")</f>
        <v>0.64698247890979887</v>
      </c>
      <c r="BH18" s="902">
        <f>IF(ISNUMBER(((Datos!L18/Datos!K18)*11)/factor_trimestre),((Datos!L18/Datos!K18)*11)/factor_trimestre," - ")</f>
        <v>9.4032096288866587</v>
      </c>
      <c r="BI18" s="898">
        <f>SUBTOTAL(9,BI15:BI17)</f>
        <v>0.12618634554546382</v>
      </c>
      <c r="BJ18" s="898">
        <f>SUBTOTAL(9,BJ15:BJ17)</f>
        <v>0</v>
      </c>
      <c r="BK18" s="898">
        <f>SUBTOTAL(9,BK15:BK17)</f>
        <v>0</v>
      </c>
      <c r="BL18" s="898">
        <f>IF(ISNUMBER((I18-AB18+L18)/(F18)),(I18-AB18+L18)/(F18)," - ")</f>
        <v>-0.3962639109697933</v>
      </c>
      <c r="BM18" s="904">
        <f>IF(ISNUMBER((Datos!P18-Datos!Q18)/(Datos!R18-Datos!P18+Datos!Q18)),(Datos!P18-Datos!Q18)/(Datos!R18-Datos!P18+Datos!Q18)," - ")</f>
        <v>-4.7393364928909956E-3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2530</v>
      </c>
      <c r="G19" s="819">
        <f t="shared" si="6"/>
        <v>2595</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228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997</v>
      </c>
      <c r="AC19" s="820">
        <f t="shared" si="7"/>
        <v>103</v>
      </c>
      <c r="AD19" s="820">
        <f t="shared" si="7"/>
        <v>0</v>
      </c>
      <c r="AE19" s="820">
        <f t="shared" si="7"/>
        <v>0</v>
      </c>
      <c r="AF19" s="827">
        <f t="shared" si="7"/>
        <v>3140</v>
      </c>
      <c r="AG19" s="827">
        <f t="shared" si="7"/>
        <v>0</v>
      </c>
      <c r="AH19" s="827">
        <f t="shared" si="7"/>
        <v>173</v>
      </c>
      <c r="AI19" s="827">
        <f t="shared" si="7"/>
        <v>0</v>
      </c>
      <c r="AJ19" s="820">
        <f t="shared" si="7"/>
        <v>0</v>
      </c>
      <c r="AK19" s="827">
        <f t="shared" si="7"/>
        <v>0</v>
      </c>
      <c r="AL19" s="827">
        <f t="shared" si="7"/>
        <v>0</v>
      </c>
      <c r="AM19" s="827">
        <f t="shared" si="7"/>
        <v>4268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197</v>
      </c>
      <c r="BD19" s="819">
        <f t="shared" si="7"/>
        <v>1018</v>
      </c>
      <c r="BE19" s="819">
        <f t="shared" si="7"/>
        <v>0</v>
      </c>
      <c r="BF19" s="829">
        <f t="shared" si="7"/>
        <v>0</v>
      </c>
      <c r="BG19" s="914">
        <f>IF(ISNUMBER(Datos!K19/Datos!J19),Datos!K19/Datos!J19," - ")</f>
        <v>0.74382129277566544</v>
      </c>
      <c r="BH19" s="914">
        <f>IF(ISNUMBER(((Datos!L19/Datos!K19)*11)/factor_trimestre),((Datos!L19/Datos!K19)*11)/factor_trimestre," - ")</f>
        <v>12.036421725239618</v>
      </c>
      <c r="BI19" s="812">
        <f>IF(ISNUMBER(Datos!J19/Datos!I19),Datos!J19/Datos!I19," - ")</f>
        <v>0.36655052264808363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-0.39407114624505929</v>
      </c>
      <c r="BM19" s="888">
        <f>IF(ISNUMBER((Datos!P19-Datos!Q19+R19)/(Datos!R19-Datos!P19+Datos!Q19-R19)),(Datos!P19-Datos!Q19+R19)/(Datos!R19-Datos!P19+Datos!Q19-R19)," - ")</f>
        <v>3.017137340091721E-2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1444.5303735124437</v>
      </c>
      <c r="G21" s="551">
        <f>IF(ISNUMBER(STDEV(G8:G18)),STDEV(G8:G18),"-")</f>
        <v>1379.2401893796455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527.83018102416236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54.157794145133593</v>
      </c>
      <c r="BD21" s="550"/>
      <c r="BE21" s="550">
        <f>IF(ISNUMBER(STDEV(BE8:BE18)),STDEV(BE8:BE18),"-")</f>
        <v>0</v>
      </c>
      <c r="BF21" s="555">
        <f>IF(ISNUMBER(STDEV(BF8:BF18)),STDEV(BF8:BF18),"-")</f>
        <v>0</v>
      </c>
      <c r="BG21" s="774">
        <f>IF(ISNUMBER(STDEV(BG8:BG18)),STDEV(BG8:BG18),"-")</f>
        <v>0.38038864608656964</v>
      </c>
      <c r="BH21" s="775">
        <f>IF(ISNUMBER(STDEV(BH8:BH18)),STDEV(BH8:BH18),"-")</f>
        <v>4.9362068586530565</v>
      </c>
      <c r="BI21" s="248">
        <f>IF(ISNUMBER(STDEV(BI8:BI18)),STDEV(BI8:BI18),"-")</f>
        <v>6.5026583614387873E-2</v>
      </c>
      <c r="BJ21" s="229" t="str">
        <f>IF(ISNUMBER(BL21/BM21),BL21/BM21," - ")</f>
        <v xml:space="preserve"> - </v>
      </c>
      <c r="BK21" s="574"/>
      <c r="BL21" s="558">
        <f>IF(ISNUMBER(STDEV(BL8:BL18)),STDEV(BL8:BL18),"-")</f>
        <v>0.2802008985862432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j7NmQlp6QfZTD8l26RZTuapbqPheCNyWZhDbmFnTL9/Y6cpqVOpVTuuarorU3rdNVyH/XxBIWBwWB1E87jDZQ==" saltValue="OzcZkXlO0J84Md5ALLCt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ANTEQUERA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83</v>
      </c>
      <c r="AA12" s="331" t="str">
        <f>IF(ISNUMBER(IF(J_V="SI",Datos!L12,Datos!L12+Datos!AB12)-IF(Monitorios="SI",Datos!CD12,0)),
                          IF(J_V="SI",Datos!L12,Datos!L12+Datos!AB12)-IF(Monitorios="SI",Datos!CD12,0),
                          " - ")</f>
        <v xml:space="preserve"> - </v>
      </c>
      <c r="AB12" s="333"/>
      <c r="AC12" s="333"/>
      <c r="AD12" s="483"/>
      <c r="AE12" s="483">
        <f>IF(ISNUMBER(Datos!R12),Datos!R12," - ")</f>
        <v>4054</v>
      </c>
      <c r="AF12" s="228" t="str">
        <f>IF(ISNUMBER(Datos!BV12),Datos!BV12," - ")</f>
        <v xml:space="preserve"> - </v>
      </c>
      <c r="AG12" s="224" t="str">
        <f>IF(ISNUMBER(Datos!DV12),Datos!DV12," - ")</f>
        <v xml:space="preserve"> - </v>
      </c>
      <c r="AH12" s="297"/>
      <c r="AI12" s="226"/>
      <c r="AJ12" s="224">
        <f>IF(ISNUMBER(Datos!M12),Datos!M12," - ")</f>
        <v>121</v>
      </c>
      <c r="AK12" s="228">
        <f>IF(ISNUMBER(Datos!N12),Datos!N12," - ")</f>
        <v>233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16.208809135399676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3.2077393075356418E-2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209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83</v>
      </c>
      <c r="AA13" s="899">
        <f t="shared" si="2"/>
        <v>15</v>
      </c>
      <c r="AB13" s="899">
        <f t="shared" si="2"/>
        <v>0</v>
      </c>
      <c r="AC13" s="899">
        <f t="shared" si="2"/>
        <v>0</v>
      </c>
      <c r="AD13" s="899">
        <f t="shared" si="2"/>
        <v>0</v>
      </c>
      <c r="AE13" s="899">
        <f t="shared" si="2"/>
        <v>4058</v>
      </c>
      <c r="AF13" s="907">
        <f t="shared" si="2"/>
        <v>0</v>
      </c>
      <c r="AG13" s="907">
        <f t="shared" si="2"/>
        <v>0</v>
      </c>
      <c r="AH13" s="907">
        <f t="shared" si="2"/>
        <v>0</v>
      </c>
      <c r="AI13" s="907">
        <f t="shared" si="2"/>
        <v>0</v>
      </c>
      <c r="AJ13" s="907">
        <f t="shared" si="2"/>
        <v>121</v>
      </c>
      <c r="AK13" s="907">
        <f t="shared" si="2"/>
        <v>233</v>
      </c>
      <c r="AL13" s="907">
        <f t="shared" si="2"/>
        <v>0</v>
      </c>
      <c r="AM13" s="907">
        <f t="shared" si="2"/>
        <v>0</v>
      </c>
      <c r="AN13" s="907">
        <f t="shared" si="2"/>
        <v>0</v>
      </c>
      <c r="AO13" s="903">
        <f>IF(ISNUMBER(((NºAsuntos!I13/NºAsuntos!G13)*11)/factor_trimestre),((NºAsuntos!I13/NºAsuntos!G13)*11)/factor_trimestre," - ")</f>
        <v>16.282218597063622</v>
      </c>
      <c r="AP13" s="909" t="str">
        <f>IF(ISNUMBER(Datos!CI13/Datos!CJ13),Datos!CI13/Datos!CJ13," - ")</f>
        <v xml:space="preserve"> - </v>
      </c>
      <c r="AQ13" s="927">
        <f t="shared" ref="AQ13:AV13" si="3">SUBTOTAL(9,AQ9:AQ12)</f>
        <v>0</v>
      </c>
      <c r="AR13" s="927">
        <f t="shared" si="3"/>
        <v>3.2077393075356418E-2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2516</v>
      </c>
      <c r="G16" s="224">
        <f>IF(ISNUMBER(IF(D_I="SI",Datos!I16,Datos!I16+Datos!AC16)),IF(D_I="SI",Datos!I16,Datos!I16+Datos!AC16)," - ")</f>
        <v>2516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956</v>
      </c>
      <c r="Z16" s="618">
        <f>IF(ISNUMBER(Datos!Q16),Datos!Q16," - ")</f>
        <v>20</v>
      </c>
      <c r="AA16" s="331">
        <f>IF(ISNUMBER(IF(D_I="SI",Datos!L16,Datos!L16+Datos!AF16)),IF(D_I="SI",Datos!L16,Datos!L16+Datos!AF16)," - ")</f>
        <v>3055</v>
      </c>
      <c r="AB16" s="333"/>
      <c r="AC16" s="333"/>
      <c r="AD16" s="483"/>
      <c r="AE16" s="483">
        <f>IF(ISNUMBER(Datos!R16),Datos!R16," - ")</f>
        <v>210</v>
      </c>
      <c r="AF16" s="228" t="str">
        <f>IF(ISNUMBER(Datos!BV16),Datos!BV16," - ")</f>
        <v xml:space="preserve"> - </v>
      </c>
      <c r="AG16" s="224"/>
      <c r="AH16" s="297"/>
      <c r="AI16" s="226"/>
      <c r="AJ16" s="224">
        <f>IF(ISNUMBER(Datos!M16),Datos!M16," - ")</f>
        <v>74</v>
      </c>
      <c r="AK16" s="228">
        <f>IF(ISNUMBER(Datos!N16),Datos!N16," - ")</f>
        <v>741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9.5868200836820101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v>
      </c>
      <c r="Z17" s="618">
        <f>IF(ISNUMBER(Datos!Q17),Datos!Q17," - ")</f>
        <v>0</v>
      </c>
      <c r="AA17" s="331">
        <f>IF(ISNUMBER(Datos!L17),Datos!L17,"-")</f>
        <v>70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5.1219512195121952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2516</v>
      </c>
      <c r="G18" s="897">
        <f>SUBTOTAL(9,G15:G17)</f>
        <v>2581</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997</v>
      </c>
      <c r="Z18" s="931">
        <f t="shared" si="5"/>
        <v>20</v>
      </c>
      <c r="AA18" s="931">
        <f t="shared" si="5"/>
        <v>3125</v>
      </c>
      <c r="AB18" s="931">
        <f t="shared" si="5"/>
        <v>0</v>
      </c>
      <c r="AC18" s="931">
        <f t="shared" si="5"/>
        <v>0</v>
      </c>
      <c r="AD18" s="931">
        <f t="shared" si="5"/>
        <v>0</v>
      </c>
      <c r="AE18" s="931">
        <f t="shared" si="5"/>
        <v>210</v>
      </c>
      <c r="AF18" s="931">
        <f t="shared" si="5"/>
        <v>0</v>
      </c>
      <c r="AG18" s="931">
        <f t="shared" si="5"/>
        <v>0</v>
      </c>
      <c r="AH18" s="931">
        <f t="shared" si="5"/>
        <v>0</v>
      </c>
      <c r="AI18" s="931">
        <f t="shared" si="5"/>
        <v>0</v>
      </c>
      <c r="AJ18" s="931">
        <f t="shared" si="5"/>
        <v>76</v>
      </c>
      <c r="AK18" s="931">
        <f t="shared" si="5"/>
        <v>785</v>
      </c>
      <c r="AL18" s="931">
        <f t="shared" si="5"/>
        <v>0</v>
      </c>
      <c r="AM18" s="931">
        <f t="shared" si="5"/>
        <v>0</v>
      </c>
      <c r="AN18" s="931">
        <f t="shared" si="5"/>
        <v>0</v>
      </c>
      <c r="AO18" s="933">
        <f>IF(ISNUMBER(((NºAsuntos!I18/NºAsuntos!G18)*11)/factor_trimestre),((NºAsuntos!I18/NºAsuntos!G18)*11)/factor_trimestre," - ")</f>
        <v>9.4032096288866587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2530</v>
      </c>
      <c r="G19" s="819">
        <f t="shared" si="7"/>
        <v>2595</v>
      </c>
      <c r="H19" s="820">
        <f t="shared" si="7"/>
        <v>0</v>
      </c>
      <c r="I19" s="819">
        <f t="shared" si="7"/>
        <v>0</v>
      </c>
      <c r="J19" s="821">
        <f t="shared" si="7"/>
        <v>0</v>
      </c>
      <c r="K19" s="819">
        <f t="shared" si="7"/>
        <v>0</v>
      </c>
      <c r="L19" s="822">
        <f t="shared" si="7"/>
        <v>0</v>
      </c>
      <c r="M19" s="819">
        <f t="shared" si="7"/>
        <v>0</v>
      </c>
      <c r="N19" s="820">
        <f t="shared" si="7"/>
        <v>228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997</v>
      </c>
      <c r="Z19" s="826">
        <f t="shared" si="8"/>
        <v>103</v>
      </c>
      <c r="AA19" s="827">
        <f t="shared" si="8"/>
        <v>3140</v>
      </c>
      <c r="AB19" s="827">
        <f t="shared" si="8"/>
        <v>0</v>
      </c>
      <c r="AC19" s="827">
        <f t="shared" si="8"/>
        <v>0</v>
      </c>
      <c r="AD19" s="828">
        <f t="shared" si="8"/>
        <v>0</v>
      </c>
      <c r="AE19" s="828">
        <f t="shared" si="8"/>
        <v>4268</v>
      </c>
      <c r="AF19" s="829">
        <f t="shared" si="8"/>
        <v>0</v>
      </c>
      <c r="AG19" s="830">
        <f t="shared" si="8"/>
        <v>0</v>
      </c>
      <c r="AH19" s="831">
        <f t="shared" si="8"/>
        <v>0</v>
      </c>
      <c r="AI19" s="829">
        <f t="shared" si="8"/>
        <v>0</v>
      </c>
      <c r="AJ19" s="819">
        <f t="shared" si="8"/>
        <v>197</v>
      </c>
      <c r="AK19" s="819">
        <f t="shared" si="8"/>
        <v>1018</v>
      </c>
      <c r="AL19" s="819">
        <f t="shared" si="8"/>
        <v>0</v>
      </c>
      <c r="AM19" s="832">
        <f t="shared" si="8"/>
        <v>0</v>
      </c>
      <c r="AN19" s="822">
        <f>IF(ISNUMBER(Datos!K19/Datos!J19),Datos!K19/Datos!J19," - ")</f>
        <v>0.74382129277566544</v>
      </c>
      <c r="AO19" s="822">
        <f>IF(ISNUMBER(FIND("06",Criterios!A8,1)),(IF(ISNUMBER(((Datos!R19/Datos!Q19)*11)/factor_trimestre),((Datos!R19/Datos!Q19)*11)/factor_trimestre," - ")),(IF(ISNUMBER(((Datos!L19/Datos!K19)*11)/factor_trimestre),((Datos!L19/Datos!K19)*11)/factor_trimestre," - ")))</f>
        <v>12.036421725239618</v>
      </c>
      <c r="AP19" s="833" t="str">
        <f>IF(ISNUMBER(Datos!CI19/Datos!CJ19),Datos!CI19/Datos!CJ19," - ")</f>
        <v xml:space="preserve"> - </v>
      </c>
      <c r="AQ19" s="833">
        <f>IF(OR(ISNUMBER(FIND("01",Criterios!A8,1)),ISNUMBER(FIND("02",Criterios!A8,1)),ISNUMBER(FIND("03",Criterios!A8,1)),ISNUMBER(FIND("04",Criterios!A8,1))),(J19-Y19+K19)/(F19-K19),(I19-Y19+K19)/(F19-K19))</f>
        <v>-0.39407114624505929</v>
      </c>
      <c r="AR19" s="833">
        <f>IF(ISNUMBER((Datos!P19-Datos!Q19+O19)/(Datos!R19-Datos!P19+Datos!Q19-O19)),(Datos!P19-Datos!Q19+O19)/(Datos!R19-Datos!P19+Datos!Q19-O19)," - ")</f>
        <v>3.017137340091721E-2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1444.5303735124437</v>
      </c>
      <c r="G21" s="551">
        <f>IF(ISNUMBER(STDEV(G8:G18)),STDEV(G8:G18),"-")</f>
        <v>1379.2401893796455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54.157794145133593</v>
      </c>
      <c r="AK21" s="251"/>
      <c r="AL21" s="251">
        <f>IF(ISNUMBER(STDEV(AL8:AL18)),STDEV(AL8:AL18),"-")</f>
        <v>0</v>
      </c>
      <c r="AM21" s="253">
        <f>IF(ISNUMBER(STDEV(AM8:AM18)),STDEV(AM8:AM18),"-")</f>
        <v>0</v>
      </c>
      <c r="AN21" s="538">
        <f>IF(ISNUMBER(STDEV(AN8:AN18)),STDEV(AN8:AN18),"-")</f>
        <v>0</v>
      </c>
      <c r="AO21" s="539">
        <f>IF(ISNUMBER(STDEV(AO8:AO18)),STDEV(AO8:AO18),"-")</f>
        <v>4.837816475214467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yednYsoYwztBXDlPyOaQ49tFCOjKrIYpQYnacZHFL/awA5jNuMKhYBtJ2ARBnVj6Lkf9KSO9qAg2xns8cCJQ==" saltValue="hzy0nDNZqOq6rRoV07w0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tKpgaC3xoVGGBh6qvPAr+u8PYFndqCIA2MlPir6HYRaXi0FkuoEZf3uga+SiGwng+KfXnodAVK9DOKR+gIsqA==" saltValue="6QQ7/NCHPjSs0FLTpuwd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fjxsiHMLLyPjyHxtDU+K+e6XRYUzzaK47evzEQP27XI2vwW/cLNcbIRycELMc09Hu44nEtxbviVGs2a9pm+YQ==" saltValue="FUoqQqAc0Me/17EeDpvw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ANTEQUERA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0.19738988580750408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0.1395757267921244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UstqcQ6UASnafHnB78V/y205uP2ybp7JPdIE+arhT6pJoqtDdEeCaZSWqVWb5wW03bI02f4hiO9ZPMvv1bGtw==" saltValue="buQfQi5MV10aYZA29tGH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uUd853/hbdcEoCdEOjqLYSdcyVMIfGWiRjW1K9ui18vceU5ep9CzFW7GHDnz+LluqANzxzgKcyMlCUPzP3EbA==" saltValue="voGTpJpzpr637eVT/uH8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ANTEQUERA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v>
      </c>
      <c r="F10" s="403">
        <f>IF(ISNUMBER(E10/B10),E10/B10," - ")</f>
        <v>1</v>
      </c>
      <c r="G10" s="402">
        <f>IF(ISNUMBER(Datos!K10),Datos!K10," - ")</f>
        <v>0</v>
      </c>
      <c r="H10" s="403">
        <f>IF(ISNUMBER(G10/B10),G10/B10," - ")</f>
        <v>0</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3317</v>
      </c>
      <c r="D12" s="403">
        <f>IF(ISNUMBER(C12/Datos!BH12),C12/Datos!BH12," - ")</f>
        <v>1105.6666666666667</v>
      </c>
      <c r="E12" s="402">
        <f>IF(ISNUMBER(IF(J_V="SI",Datos!J12,Datos!J12+Datos!Z12)),IF(J_V="SI",Datos!J12,Datos!J12+Datos!Z12)," - ")</f>
        <v>608</v>
      </c>
      <c r="F12" s="403">
        <f>IF(ISNUMBER(E12/B12),E12/B12," - ")</f>
        <v>202.66666666666666</v>
      </c>
      <c r="G12" s="402">
        <f>IF(ISNUMBER(IF(J_V="SI",Datos!K12,Datos!K12+Datos!AA12)),IF(J_V="SI",Datos!K12,Datos!K12+Datos!AA12)," - ")</f>
        <v>613</v>
      </c>
      <c r="H12" s="403">
        <f>IF(ISNUMBER(G12/B12),G12/B12," - ")</f>
        <v>204.33333333333334</v>
      </c>
      <c r="I12" s="402">
        <f>IF(ISNUMBER(IF(J_V="SI",Datos!L12,Datos!L12+Datos!AB12)),IF(J_V="SI",Datos!L12,Datos!L12+Datos!AB12)," - ")</f>
        <v>3312</v>
      </c>
      <c r="J12" s="403">
        <f>IF(ISNUMBER(I12/B12),I12/B12," - ")</f>
        <v>1104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3331</v>
      </c>
      <c r="D13" s="849" t="str">
        <f>IF(ISNUMBER(C13/Datos!BI13),C13/Datos!BI13," - ")</f>
        <v xml:space="preserve"> - </v>
      </c>
      <c r="E13" s="848">
        <f>SUBTOTAL(9,E8:E12)</f>
        <v>609</v>
      </c>
      <c r="F13" s="849">
        <f>IF(ISNUMBER(E13/B13),E13/B13," - ")</f>
        <v>203</v>
      </c>
      <c r="G13" s="848">
        <f>SUBTOTAL(9,G8:G12)</f>
        <v>613</v>
      </c>
      <c r="H13" s="849">
        <f>IF(ISNUMBER(G13/B13),G13/B13," - ")</f>
        <v>204.33333333333334</v>
      </c>
      <c r="I13" s="848">
        <f>SUBTOTAL(9,I8:I12)</f>
        <v>3327</v>
      </c>
      <c r="J13" s="849">
        <f>IF(ISNUMBER(I13/B13),I13/B13," - ")</f>
        <v>1109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2516</v>
      </c>
      <c r="D16" s="403">
        <f>IF(ISNUMBER(C16/Datos!BH16),C16/Datos!BH16," - ")</f>
        <v>838.66666666666663</v>
      </c>
      <c r="E16" s="402">
        <f>IF(ISNUMBER(IF(D_I="SI",Datos!J16,Datos!J16+Datos!AD16)),IF(D_I="SI",Datos!J16,Datos!J16+Datos!AD16)," - ")</f>
        <v>1495</v>
      </c>
      <c r="F16" s="403">
        <f>IF(ISNUMBER(E16/B16),E16/B16," - ")</f>
        <v>498.33333333333331</v>
      </c>
      <c r="G16" s="402">
        <f>IF(ISNUMBER(IF(D_I="SI",Datos!K16,Datos!K16+Datos!AE16)),IF(D_I="SI",Datos!K16,Datos!K16+Datos!AE16)," - ")</f>
        <v>956</v>
      </c>
      <c r="H16" s="403">
        <f>IF(ISNUMBER(G16/B16),G16/B16," - ")</f>
        <v>318.66666666666669</v>
      </c>
      <c r="I16" s="402">
        <f>IF(ISNUMBER(IF(D_I="SI",Datos!L16,Datos!L16+Datos!AF16)),IF(D_I="SI",Datos!L16,Datos!L16+Datos!AF16)," - ")</f>
        <v>3055</v>
      </c>
      <c r="J16" s="403">
        <f>IF(ISNUMBER(I16/B16),I16/B16," - ")</f>
        <v>1018.3333333333334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46</v>
      </c>
      <c r="F17" s="403">
        <f>IF(ISNUMBER(E17/B17),E17/B17," - ")</f>
        <v>46</v>
      </c>
      <c r="G17" s="402">
        <f>IF(ISNUMBER(IF(D_I="SI",Datos!K17,Datos!K17+Datos!AE17)),IF(D_I="SI",Datos!K17,Datos!K17+Datos!AE17)," - ")</f>
        <v>41</v>
      </c>
      <c r="H17" s="403">
        <f>IF(ISNUMBER(G17/B17),G17/B17," - ")</f>
        <v>41</v>
      </c>
      <c r="I17" s="402">
        <f>IF(ISNUMBER(IF(D_I="SI",Datos!L17,Datos!L17+Datos!AF17)),IF(D_I="SI",Datos!L17,Datos!L17+Datos!AF17)," - ")</f>
        <v>70</v>
      </c>
      <c r="J17" s="403">
        <f>IF(ISNUMBER(I17/B17),I17/B17," - ")</f>
        <v>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2581</v>
      </c>
      <c r="D18" s="849" t="str">
        <f>IF(ISNUMBER(C18/Datos!BI18),C18/Datos!BI18," - ")</f>
        <v xml:space="preserve"> - </v>
      </c>
      <c r="E18" s="848">
        <f>SUBTOTAL(9,E14:E17)</f>
        <v>1541</v>
      </c>
      <c r="F18" s="849">
        <f>IF(ISNUMBER(E18/B18),E18/B18," - ")</f>
        <v>513.66666666666663</v>
      </c>
      <c r="G18" s="848">
        <f>SUBTOTAL(9,G14:G17)</f>
        <v>997</v>
      </c>
      <c r="H18" s="849">
        <f>IF(ISNUMBER(G18/B18),G18/B18," - ")</f>
        <v>332.33333333333331</v>
      </c>
      <c r="I18" s="848">
        <f>SUBTOTAL(9,I14:I17)</f>
        <v>3125</v>
      </c>
      <c r="J18" s="849">
        <f>IF(ISNUMBER(I18/B18),I18/B18," - ")</f>
        <v>1041.6666666666667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5912</v>
      </c>
      <c r="D19" s="794" t="str">
        <f>IF(ISNUMBER(C19/Datos!BI19),C19/Datos!BI19," - ")</f>
        <v xml:space="preserve"> - </v>
      </c>
      <c r="E19" s="793">
        <f>SUBTOTAL(9,E9:E18)</f>
        <v>2150</v>
      </c>
      <c r="F19" s="794">
        <f>IF(ISNUMBER(E19/B19),E19/B19," - ")</f>
        <v>716.66666666666663</v>
      </c>
      <c r="G19" s="793">
        <f>SUBTOTAL(9,G9:G18)</f>
        <v>1610</v>
      </c>
      <c r="H19" s="794">
        <f>IF(ISNUMBER(G19/B19),G19/B19," - ")</f>
        <v>536.66666666666663</v>
      </c>
      <c r="I19" s="793">
        <f>SUBTOTAL(9,I9:I18)</f>
        <v>6452</v>
      </c>
      <c r="J19" s="794">
        <f>IF(ISNUMBER(I19/B19),I19/B19," - ")</f>
        <v>2150.6666666666665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xoTx+d18ROcFrPh+U/vhiZ+ke9PWO9GrWHwB1MLJoZ18FdFR1eKe7n151emYF36qc+sG0r7AxPD/v6jwyl+9w==" saltValue="UKyiMIRS53Je+ub7Kun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ANTEQUERA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121</v>
      </c>
      <c r="AM12" s="689">
        <f>IF(ISNUMBER(Datos!N12+DatosP!N16),Datos!N12+DatosP!N16," - ")</f>
        <v>233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16.208809135399676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3.2077393075356418E-2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209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83</v>
      </c>
      <c r="AE13" s="938">
        <f t="shared" si="1"/>
        <v>0</v>
      </c>
      <c r="AF13" s="938">
        <f t="shared" si="1"/>
        <v>15</v>
      </c>
      <c r="AG13" s="938">
        <f t="shared" si="1"/>
        <v>0</v>
      </c>
      <c r="AH13" s="938">
        <f t="shared" si="1"/>
        <v>4054</v>
      </c>
      <c r="AI13" s="938">
        <f t="shared" si="1"/>
        <v>0</v>
      </c>
      <c r="AJ13" s="938">
        <f t="shared" si="1"/>
        <v>0</v>
      </c>
      <c r="AK13" s="938">
        <f t="shared" si="1"/>
        <v>0</v>
      </c>
      <c r="AL13" s="938">
        <f t="shared" si="1"/>
        <v>121</v>
      </c>
      <c r="AM13" s="938">
        <f t="shared" si="1"/>
        <v>233</v>
      </c>
      <c r="AN13" s="938">
        <f t="shared" si="1"/>
        <v>0</v>
      </c>
      <c r="AO13" s="938">
        <f t="shared" si="1"/>
        <v>0</v>
      </c>
      <c r="AP13" s="943">
        <f>IF(ISNUMBER(((Datos!L13/Datos!K13)*11)/factor_trimestre),((Datos!L13/Datos!K13)*11)/factor_trimestre," - ")</f>
        <v>16.658450704225352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3.2077393075356418E-2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9.4032096288866587</v>
      </c>
      <c r="AQ18" s="943">
        <f>IF(ISNUMBER(((Datos!M18/Datos!L18)*11)/factor_trimestre),((Datos!M18/Datos!L18)*11)/factor_trimestre," - ")</f>
        <v>7.2960000000000011E-2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-4.7393364928909956E-3</v>
      </c>
      <c r="AW18" s="945">
        <f>IF(ISNUMBER((Datos!Q18-Datos!R18)/(Datos!S18-Datos!Q18+Datos!R18)),(Datos!Q18-Datos!R18)/(Datos!S18-Datos!Q18+Datos!R18)," - ")</f>
        <v>-6.8173663437387871E-2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209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83</v>
      </c>
      <c r="AE19" s="956">
        <f t="shared" si="5"/>
        <v>0</v>
      </c>
      <c r="AF19" s="957">
        <f t="shared" si="5"/>
        <v>15</v>
      </c>
      <c r="AG19" s="957">
        <f t="shared" si="5"/>
        <v>0</v>
      </c>
      <c r="AH19" s="957">
        <f t="shared" si="5"/>
        <v>4054</v>
      </c>
      <c r="AI19" s="957">
        <f t="shared" si="5"/>
        <v>0</v>
      </c>
      <c r="AJ19" s="958">
        <f t="shared" si="5"/>
        <v>0</v>
      </c>
      <c r="AK19" s="958">
        <f t="shared" si="5"/>
        <v>0</v>
      </c>
      <c r="AL19" s="950">
        <f t="shared" si="5"/>
        <v>121</v>
      </c>
      <c r="AM19" s="950">
        <f t="shared" si="5"/>
        <v>233</v>
      </c>
      <c r="AN19" s="950">
        <f t="shared" si="5"/>
        <v>0</v>
      </c>
      <c r="AO19" s="950">
        <f t="shared" si="5"/>
        <v>0</v>
      </c>
      <c r="AP19" s="950">
        <f>IF(ISNUMBER(((Datos!L19/Datos!K19)*11)/factor_trimestre),((Datos!L19/Datos!K19)*11)/factor_trimestre," - ")</f>
        <v>12.036421725239618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3.017137340091721E-2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69.859382571944721</v>
      </c>
      <c r="AM21" s="735"/>
      <c r="AN21" s="735">
        <f>IF(ISNUMBER(STDEV(AN8:AN18)),STDEV(AN8:AN18),"-")</f>
        <v>0</v>
      </c>
      <c r="AO21" s="741">
        <f>IF(ISNUMBER(STDEV(AO8:AO18)),STDEV(AO8:AO18),"-")</f>
        <v>0</v>
      </c>
      <c r="AP21" s="778">
        <f>IF(ISNUMBER(STDEV(AP8:AP18)),STDEV(AP8:AP18),"-")</f>
        <v>4.0652364680042146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dZlyUZeqwHbZiZSxfyRIq7JP0IOx/Aq0+ODDWD5IgLjYdln4MLFxmhiMpubprgRl+wj0IcBwmNHLu1X/6cTCA==" saltValue="o8EpO0kIIbtmKIejGY4r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ANTEQUERA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HFtn8E4YdUhAhArVvM/GPzSEi7wMXxjvdGu+7zeMcHCDKV4PvmqHM6xWqfS3Xa4X+CjposUm+UXSHBJd2awpg==" saltValue="4yEG+p/juzpJ2AAmj1bB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ANTEQUERA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121</v>
      </c>
      <c r="E12" s="403">
        <f t="shared" si="0"/>
        <v>40.333333333333336</v>
      </c>
      <c r="F12" s="402">
        <f>IF(ISNUMBER(Datos!N12),Datos!N12," - ")</f>
        <v>233</v>
      </c>
      <c r="G12" s="403">
        <f t="shared" si="1"/>
        <v>77.666666666666671</v>
      </c>
      <c r="H12" s="402">
        <f>IF(ISNUMBER(Datos!O12),Datos!O12," - ")</f>
        <v>333</v>
      </c>
      <c r="I12" s="403">
        <f t="shared" si="2"/>
        <v>111</v>
      </c>
      <c r="BZ12" s="1185">
        <f>Datos!EZ12</f>
        <v>0</v>
      </c>
    </row>
    <row r="13" spans="1:78" ht="14.25" thickTop="1" thickBot="1">
      <c r="A13" s="847" t="str">
        <f>Datos!A13</f>
        <v>TOTAL</v>
      </c>
      <c r="B13" s="848">
        <f>Datos!AP13</f>
        <v>3</v>
      </c>
      <c r="C13" s="850">
        <f>Datos!AR13</f>
        <v>3</v>
      </c>
      <c r="D13" s="848">
        <f>SUBTOTAL(9,D9:D12)</f>
        <v>121</v>
      </c>
      <c r="E13" s="849">
        <f t="shared" si="0"/>
        <v>40.333333333333336</v>
      </c>
      <c r="F13" s="848">
        <f>SUBTOTAL(9,F9:F12)</f>
        <v>233</v>
      </c>
      <c r="G13" s="849">
        <f t="shared" si="1"/>
        <v>77.666666666666671</v>
      </c>
      <c r="H13" s="848">
        <f>SUBTOTAL(9,H9:H12)</f>
        <v>333</v>
      </c>
      <c r="I13" s="849">
        <f>IF(ISNUMBER(H13/B13),H13/B13," - ")</f>
        <v>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74</v>
      </c>
      <c r="E16" s="403">
        <f t="shared" si="3"/>
        <v>24.666666666666668</v>
      </c>
      <c r="F16" s="402">
        <f>IF(ISNUMBER(Datos!N16),Datos!N16," - ")</f>
        <v>741</v>
      </c>
      <c r="G16" s="403">
        <f t="shared" si="4"/>
        <v>247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76</v>
      </c>
      <c r="E18" s="849">
        <f t="shared" si="3"/>
        <v>25.333333333333332</v>
      </c>
      <c r="F18" s="848">
        <f>SUBTOTAL(9,F15:F17)</f>
        <v>785</v>
      </c>
      <c r="G18" s="849">
        <f t="shared" si="4"/>
        <v>261.66666666666669</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197</v>
      </c>
      <c r="E19" s="794">
        <f>IF(ISNUMBER(D19/B19),D19/B19," - ")</f>
        <v>65.666666666666671</v>
      </c>
      <c r="F19" s="793">
        <f>SUBTOTAL(9,F8:F18)</f>
        <v>1018</v>
      </c>
      <c r="G19" s="794">
        <f>IF(ISNUMBER(F19/B19),F19/B19," - ")</f>
        <v>339.33333333333331</v>
      </c>
      <c r="H19" s="793">
        <f>SUBTOTAL(9,H8:H18)</f>
        <v>333</v>
      </c>
      <c r="I19" s="794">
        <f>IF(ISNUMBER(H19/B19),H19/B19," - ")</f>
        <v>111</v>
      </c>
    </row>
    <row r="22" spans="1:78">
      <c r="A22" s="390" t="str">
        <f>Criterios!A4</f>
        <v>Fecha Informe: 17 mar. 2026</v>
      </c>
    </row>
    <row r="27" spans="1:78">
      <c r="A27" s="413"/>
    </row>
  </sheetData>
  <sheetProtection algorithmName="SHA-512" hashValue="Q1SnBrxn7dUYIyR4ocDLWLPRLSx2X+m1c6SWli1JTLayQ5v/6DnX5ksChlwK4f6ZEsEfBnrezmSg6Z4hqkayDA==" saltValue="f7hLC/Apx8D+tWUcUIRW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ANTEQUERA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209</v>
      </c>
      <c r="C12" s="433">
        <f>IF(ISNUMBER(Datos!Q12),Datos!Q12," - ")</f>
        <v>83</v>
      </c>
      <c r="D12" s="407">
        <f>IF(ISNUMBER(Datos!R12),Datos!R12," - ")</f>
        <v>4054</v>
      </c>
    </row>
    <row r="13" spans="1:4" ht="14.25" thickTop="1" thickBot="1">
      <c r="A13" s="847" t="str">
        <f>Datos!A13</f>
        <v>TOTAL</v>
      </c>
      <c r="B13" s="848">
        <f>SUBTOTAL(9,B9:B12)</f>
        <v>209</v>
      </c>
      <c r="C13" s="852">
        <f>SUBTOTAL(9,C9:C12)</f>
        <v>83</v>
      </c>
      <c r="D13" s="850">
        <f>SUBTOTAL(9,D9:D12)</f>
        <v>4058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20</v>
      </c>
      <c r="D16" s="407">
        <f>IF(ISNUMBER(Datos!R16),Datos!R16," - ")</f>
        <v>210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19</v>
      </c>
      <c r="C18" s="852">
        <f>SUBTOTAL(9,C15:C17)</f>
        <v>20</v>
      </c>
      <c r="D18" s="850">
        <f>SUBTOTAL(9,D15:D17)</f>
        <v>210</v>
      </c>
    </row>
    <row r="19" spans="1:4" ht="16.5" customHeight="1" thickTop="1" thickBot="1">
      <c r="A19" s="792" t="str">
        <f>Datos!A19</f>
        <v>TOTAL JURISDICCIONES</v>
      </c>
      <c r="B19" s="797">
        <f>SUBTOTAL(9,B8:B18)</f>
        <v>228</v>
      </c>
      <c r="C19" s="798">
        <f>SUBTOTAL(9,C8:C18)</f>
        <v>103</v>
      </c>
      <c r="D19" s="799">
        <f>SUBTOTAL(9,D8:D18)</f>
        <v>4268</v>
      </c>
    </row>
    <row r="20" spans="1:4" ht="7.5" customHeight="1"/>
    <row r="21" spans="1:4" ht="6" customHeight="1"/>
    <row r="22" spans="1:4">
      <c r="A22" s="390" t="str">
        <f>Criterios!A4</f>
        <v>Fecha Informe: 17 mar. 2026</v>
      </c>
    </row>
    <row r="27" spans="1:4">
      <c r="A27" s="413"/>
    </row>
  </sheetData>
  <sheetProtection algorithmName="SHA-512" hashValue="Ara20Y8ncJtQ+cM+FuGanftYFFllgBSeV4mGwRCHN+JCXIuhslAn6REsQJyaBj7Gzjk4lqmZ/+AYZIaOxFd9Kw==" saltValue="rA+DKqsafYpfTpBpxguT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ANTEQUERA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v>
      </c>
      <c r="D10" s="455" t="str">
        <f>IF(ISNUMBER((Datos!K10-Datos!U10)/Datos!U10),(Datos!K10-Datos!U10)/Datos!U10," - ")</f>
        <v xml:space="preserve"> - </v>
      </c>
      <c r="E10" s="455">
        <f>IF(ISNUMBER((Datos!L10-Datos!V10)/Datos!V10),(Datos!L10-Datos!V10)/Datos!V10," - ")</f>
        <v>0.36363636363636365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0.10235958790295779</v>
      </c>
      <c r="C12" s="455">
        <f>IF(ISNUMBER(
   IF(J_V="SI",(Datos!J12-Datos!T12)/Datos!T12,(Datos!J12+Datos!Z12-(Datos!T12+Datos!AH12))/(Datos!T12+Datos!AH12))
     ),IF(J_V="SI",(Datos!J12-Datos!T12)/Datos!T12,(Datos!J12+Datos!Z12-(Datos!T12+Datos!AH12))/(Datos!T12+Datos!AH12))," - ")</f>
        <v>-0.32891832229580575</v>
      </c>
      <c r="D12" s="455">
        <f>IF(ISNUMBER(
   IF(J_V="SI",(Datos!K12-Datos!U12)/Datos!U12,(Datos!K12+Datos!AA12-(Datos!U12+Datos!AI12))/(Datos!U12+Datos!AI12))
     ),IF(J_V="SI",(Datos!K12-Datos!U12)/Datos!U12,(Datos!K12+Datos!AA12-(Datos!U12+Datos!AI12))/(Datos!U12+Datos!AI12))," - ")</f>
        <v>-0.27023809523809522</v>
      </c>
      <c r="E12" s="455">
        <f>IF(ISNUMBER(
   IF(J_V="SI",(Datos!L12-Datos!V12)/Datos!V12,(Datos!L12+Datos!AB12-(Datos!V12+Datos!AJ12))/(Datos!V12+Datos!AJ12))
     ),IF(J_V="SI",(Datos!L12-Datos!V12)/Datos!V12,(Datos!L12+Datos!AB12-(Datos!V12+Datos!AJ12))/(Datos!V12+Datos!AJ12))," - ")</f>
        <v>7.7073170731707316E-2</v>
      </c>
      <c r="F12" s="455">
        <f>IF(ISNUMBER((Datos!M12-Datos!W12)/Datos!W12),(Datos!M12-Datos!W12)/Datos!W12," - ")</f>
        <v>-0.53816793893129766</v>
      </c>
      <c r="G12" s="456">
        <f>IF(ISNUMBER((Datos!N12-Datos!X12)/Datos!X12),(Datos!N12-Datos!X12)/Datos!X12," - ")</f>
        <v>-0.28746177370030579</v>
      </c>
      <c r="H12" s="454">
        <f>IF(ISNUMBER(((NºAsuntos!G12/NºAsuntos!E12)-Datos!BD12)/Datos!BD12),((NºAsuntos!G12/NºAsuntos!E12)-Datos!BD12)/Datos!BD12," - ")</f>
        <v>8.7441259398496299E-2</v>
      </c>
      <c r="I12" s="455">
        <f>IF(ISNUMBER(((NºAsuntos!I12/NºAsuntos!G12)-Datos!BE12)/Datos!BE12),((NºAsuntos!I12/NºAsuntos!G12)-Datos!BE12)/Datos!BE12," - ")</f>
        <v>0.47592408387379154</v>
      </c>
      <c r="J12" s="460">
        <f>IF(ISNUMBER((('Resol  Asuntos'!D12/NºAsuntos!G12)-Datos!BF12)/Datos!BF12),(('Resol  Asuntos'!D12/NºAsuntos!G12)-Datos!BF12)/Datos!BF12," - ")</f>
        <v>-0.49294341260457669</v>
      </c>
      <c r="K12" s="461">
        <f>IF(ISNUMBER((((NºAsuntos!C12+NºAsuntos!E12)/NºAsuntos!G12)-Datos!BG12)/Datos!BG12),(((NºAsuntos!C12+NºAsuntos!E12)/NºAsuntos!G12)-Datos!BG12)/Datos!BG12," - ")</f>
        <v>0.37381010419205846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0.10334547863530971</v>
      </c>
      <c r="C13" s="854">
        <f>IF(ISNUMBER(
   IF(J_V="SI",(Datos!J13-Datos!T13)/Datos!T13,(Datos!J13+Datos!Z13-(Datos!T13+Datos!AH13))/(Datos!T13+Datos!AH13))
     ),IF(J_V="SI",(Datos!J13-Datos!T13)/Datos!T13,(Datos!J13+Datos!Z13-(Datos!T13+Datos!AH13))/(Datos!T13+Datos!AH13))," - ")</f>
        <v>-0.32855567805953695</v>
      </c>
      <c r="D13" s="854">
        <f>IF(ISNUMBER(
   IF(J_V="SI",(Datos!K13-Datos!U13)/Datos!U13,(Datos!K13+Datos!AA13-(Datos!U13+Datos!AI13))/(Datos!U13+Datos!AI13))
     ),IF(J_V="SI",(Datos!K13-Datos!U13)/Datos!U13,(Datos!K13+Datos!AA13-(Datos!U13+Datos!AI13))/(Datos!U13+Datos!AI13))," - ")</f>
        <v>-0.27023809523809522</v>
      </c>
      <c r="E13" s="854">
        <f>IF(ISNUMBER(
   IF(J_V="SI",(Datos!L13-Datos!V13)/Datos!V13,(Datos!L13+Datos!AB13-(Datos!V13+Datos!AJ13))/(Datos!V13+Datos!AJ13))
     ),IF(J_V="SI",(Datos!L13-Datos!V13)/Datos!V13,(Datos!L13+Datos!AB13-(Datos!V13+Datos!AJ13))/(Datos!V13+Datos!AJ13))," - ")</f>
        <v>7.8094620868438103E-2</v>
      </c>
      <c r="F13" s="855">
        <f>IF(ISNUMBER((Datos!M13-Datos!W13)/Datos!W13),(Datos!M13-Datos!W13)/Datos!W13," - ")</f>
        <v>-0.53816793893129766</v>
      </c>
      <c r="G13" s="856">
        <f>IF(ISNUMBER((Datos!N13-Datos!X13)/Datos!X13),(Datos!N13-Datos!X13)/Datos!X13," - ")</f>
        <v>-0.28746177370030579</v>
      </c>
      <c r="H13" s="856">
        <f>IF(ISNUMBER(((NºAsuntos!G13/NºAsuntos!E13)-Datos!BD13)/Datos!BD13),((NºAsuntos!G13/NºAsuntos!E13)-Datos!BD13)/Datos!BD13," - ")</f>
        <v>8.6853936977089735E-2</v>
      </c>
      <c r="I13" s="856">
        <f>IF(ISNUMBER(((NºAsuntos!I13/NºAsuntos!G13)-Datos!BE13)/Datos!BE13),((NºAsuntos!I13/NºAsuntos!G13)-Datos!BE13)/Datos!BE13," - ")</f>
        <v>0.47732378716066565</v>
      </c>
      <c r="J13" s="856">
        <f>IF(ISNUMBER((('Resol  Asuntos'!D13/NºAsuntos!G13)-Datos!BF13)/Datos!BF13),(('Resol  Asuntos'!D13/NºAsuntos!G13)-Datos!BF13)/Datos!BF13," - ")</f>
        <v>-0.49294341260457669</v>
      </c>
      <c r="K13" s="856">
        <f>IF(ISNUMBER((((NºAsuntos!C13+NºAsuntos!E13)/NºAsuntos!G13)-Datos!BG13)/Datos!BG13),(((NºAsuntos!C13+NºAsuntos!E13)/NºAsuntos!G13)-Datos!BG13)/Datos!BG13," - ")</f>
        <v>0.37519643585782314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8.0128205128205121E-3</v>
      </c>
      <c r="C16" s="455">
        <f>IF(ISNUMBER(
   IF(D_I="SI",(Datos!J16-Datos!T16)/Datos!T16,(Datos!J16+Datos!AD16-(Datos!T16+Datos!AL16))/(Datos!T16+Datos!AL16))
     ),IF(D_I="SI",(Datos!J16-Datos!T16)/Datos!T16,(Datos!J16+Datos!AD16-(Datos!T16+Datos!AL16))/(Datos!T16+Datos!AL16))," - ")</f>
        <v>0.56873032528856249</v>
      </c>
      <c r="D16" s="455">
        <f>IF(ISNUMBER(
   IF(D_I="SI",(Datos!K16-Datos!U16)/Datos!U16,(Datos!K16+Datos!AE16-(Datos!U16+Datos!AM16))/(Datos!U16+Datos!AM16))
     ),IF(D_I="SI",(Datos!K16-Datos!U16)/Datos!U16,(Datos!K16+Datos!AE16-(Datos!U16+Datos!AM16))/(Datos!U16+Datos!AM16))," - ")</f>
        <v>-0.21895424836601307</v>
      </c>
      <c r="E16" s="455">
        <f>IF(ISNUMBER(
   IF(D_I="SI",(Datos!L16-Datos!V16)/Datos!V16,(Datos!L16+Datos!AF16-(Datos!V16+Datos!AN16))/(Datos!V16+Datos!AN16))
     ),IF(D_I="SI",(Datos!L16-Datos!V16)/Datos!V16,(Datos!L16+Datos!AF16-(Datos!V16+Datos!AN16))/(Datos!V16+Datos!AN16))," - ")</f>
        <v>0.37736699729486023</v>
      </c>
      <c r="F16" s="455">
        <f>IF(ISNUMBER((Datos!M16-Datos!W16)/Datos!W16),(Datos!M16-Datos!W16)/Datos!W16," - ")</f>
        <v>-0.36752136752136755</v>
      </c>
      <c r="G16" s="456">
        <f>IF(ISNUMBER((Datos!N16-Datos!X16)/Datos!X16),(Datos!N16-Datos!X16)/Datos!X16," - ")</f>
        <v>-0.23843782117163412</v>
      </c>
      <c r="H16" s="454">
        <f>IF(ISNUMBER(((NºAsuntos!G16/NºAsuntos!E16)-Datos!BD16)/Datos!BD16),((NºAsuntos!G16/NºAsuntos!E16)-Datos!BD16)/Datos!BD16," - ")</f>
        <v>-0.50211598574769922</v>
      </c>
      <c r="I16" s="455">
        <f>IF(ISNUMBER(((NºAsuntos!I16/NºAsuntos!G16)-Datos!BE16)/Datos!BE16),((NºAsuntos!I16/NºAsuntos!G16)-Datos!BE16)/Datos!BE16," - ")</f>
        <v>0.76349079988379598</v>
      </c>
      <c r="J16" s="460">
        <f>IF(ISNUMBER((('Resol  Asuntos'!D16/NºAsuntos!G16)-Datos!BF16)/Datos!BF16),(('Resol  Asuntos'!D16/NºAsuntos!G16)-Datos!BF16)/Datos!BF16," - ")</f>
        <v>-0.19021564209848729</v>
      </c>
      <c r="K16" s="461">
        <f>IF(ISNUMBER((((NºAsuntos!C16+NºAsuntos!E16)/NºAsuntos!G16)-Datos!BG16)/Datos!BG16),(((NºAsuntos!C16+NºAsuntos!E16)/NºAsuntos!G16)-Datos!BG16)/Datos!BG16," - ")</f>
        <v>0.48895987072840202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-0.35643564356435642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-0.359375</v>
      </c>
      <c r="E17" s="455">
        <f>IF(ISNUMBER(
   IF(D_I="SI",(Datos!L17-Datos!V17)/Datos!V17,(Datos!L17+Datos!AF17-(Datos!V17+Datos!AN17))/(Datos!V17+Datos!AN17))
     ),IF(D_I="SI",(Datos!L17-Datos!V17)/Datos!V17,(Datos!L17+Datos!AF17-(Datos!V17+Datos!AN17))/(Datos!V17+Datos!AN17))," - ")</f>
        <v>-0.15662650602409639</v>
      </c>
      <c r="F17" s="455">
        <f>IF(ISNUMBER((Datos!M17-Datos!W17)/Datos!W17),(Datos!M17-Datos!W17)/Datos!W17," - ")</f>
        <v>-0.8</v>
      </c>
      <c r="G17" s="456">
        <f>IF(ISNUMBER((Datos!N17-Datos!X17)/Datos!X17),(Datos!N17-Datos!X17)/Datos!X17," - ")</f>
        <v>-0.2413793103448276</v>
      </c>
      <c r="H17" s="454">
        <f>IF(ISNUMBER(((NºAsuntos!G17/NºAsuntos!E17)-Datos!BD17)/Datos!BD17),((NºAsuntos!G17/NºAsuntos!E17)-Datos!BD17)/Datos!BD17," - ")</f>
        <v>-0.359375</v>
      </c>
      <c r="I17" s="455">
        <f>IF(ISNUMBER(((NºAsuntos!I17/NºAsuntos!G17)-Datos!BE17)/Datos!BE17),((NºAsuntos!I17/NºAsuntos!G17)-Datos!BE17)/Datos!BE17," - ")</f>
        <v>0.31648545401116657</v>
      </c>
      <c r="J17" s="460">
        <f>IF(ISNUMBER((('Resol  Asuntos'!D17/NºAsuntos!G17)-Datos!BF17)/Datos!BF17),(('Resol  Asuntos'!D17/NºAsuntos!G17)-Datos!BF17)/Datos!BF17," - ")</f>
        <v>-0.68780487804878043</v>
      </c>
      <c r="K17" s="461">
        <f>IF(ISNUMBER((((NºAsuntos!C17+NºAsuntos!E17)/NºAsuntos!G17)-Datos!BG17)/Datos!BG17),(((NºAsuntos!C17+NºAsuntos!E17)/NºAsuntos!G17)-Datos!BG17)/Datos!BG17," - ")</f>
        <v>0.17869586859133904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-6.1609549480169425E-3</v>
      </c>
      <c r="C18" s="854">
        <f>IF(ISNUMBER(
   IF(Criterios!B14="SI",(Datos!J18-Datos!T18)/Datos!T18,(Datos!J18+Datos!AD18-(Datos!T18+Datos!AL18))/(Datos!T18+Datos!AL18))
     ),IF(Criterios!B14="SI",(Datos!J18-Datos!T18)/Datos!T18,(Datos!J18+Datos!AD18-(Datos!T18+Datos!AL18))/(Datos!T18+Datos!AL18))," - ")</f>
        <v>0.54254254254254253</v>
      </c>
      <c r="D18" s="854">
        <f>IF(ISNUMBER(
   IF(Criterios!B14="SI",(Datos!K18-Datos!U18)/Datos!U18,(Datos!K18+Datos!AE18-(Datos!U18+Datos!AM18))/(Datos!U18+Datos!AM18))
     ),IF(Criterios!B14="SI",(Datos!K18-Datos!U18)/Datos!U18,(Datos!K18+Datos!AE18-(Datos!U18+Datos!AM18))/(Datos!U18+Datos!AM18))," - ")</f>
        <v>-0.22593167701863354</v>
      </c>
      <c r="E18" s="854">
        <f>IF(ISNUMBER(
   IF(Criterios!B14="SI",(Datos!L18-Datos!V18)/Datos!V18,(Datos!L18+Datos!AF18-(Datos!V18+Datos!AN18))/(Datos!V18+Datos!AN18))
     ),IF(Criterios!B14="SI",(Datos!L18-Datos!V18)/Datos!V18,(Datos!L18+Datos!AF18-(Datos!V18+Datos!AN18))/(Datos!V18+Datos!AN18))," - ")</f>
        <v>0.35810517166449368</v>
      </c>
      <c r="F18" s="855">
        <f>IF(ISNUMBER((Datos!M18-Datos!W18)/Datos!W18),(Datos!M18-Datos!W18)/Datos!W18," - ")</f>
        <v>-0.40157480314960631</v>
      </c>
      <c r="G18" s="856">
        <f>IF(ISNUMBER((Datos!N18-Datos!X18)/Datos!X18),(Datos!N18-Datos!X18)/Datos!X18," - ")</f>
        <v>-0.23860329776915615</v>
      </c>
      <c r="H18" s="856">
        <f>IF(ISNUMBER(((NºAsuntos!G18/NºAsuntos!E18)-Datos!BD18)/Datos!BD18),((NºAsuntos!G18/NºAsuntos!E18)-Datos!BD18)/Datos!BD18," - ")</f>
        <v>-0.49818672637353334</v>
      </c>
      <c r="I18" s="856">
        <f>IF(ISNUMBER(((NºAsuntos!I18/NºAsuntos!G18)-Datos!BE18)/Datos!BE18),((NºAsuntos!I18/NºAsuntos!G18)-Datos!BE18)/Datos!BE18," - ")</f>
        <v>0.75450297001390942</v>
      </c>
      <c r="J18" s="856">
        <f>IF(ISNUMBER((('Resol  Asuntos'!D18/NºAsuntos!G18)-Datos!BF18)/Datos!BF18),(('Resol  Asuntos'!D18/NºAsuntos!G18)-Datos!BF18)/Datos!BF18," - ")</f>
        <v>-0.22690907367772611</v>
      </c>
      <c r="K18" s="856">
        <f>IF(ISNUMBER((((NºAsuntos!C18+NºAsuntos!E18)/NºAsuntos!G18)-Datos!BG18)/Datos!BG18),(((NºAsuntos!C18+NºAsuntos!E18)/NºAsuntos!G18)-Datos!BG18)/Datos!BG18," - ")</f>
        <v>0.48084297386040198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5.2706552706552709E-2</v>
      </c>
      <c r="C19" s="801">
        <f>IF(ISNUMBER(
   IF(J_V="SI",(Datos!J19-Datos!T19)/Datos!T19,(Datos!J19+Datos!Z19-(Datos!T19+Datos!AH19))/(Datos!T19+Datos!AH19))
     ),IF(J_V="SI",(Datos!J19-Datos!T19)/Datos!T19,(Datos!J19+Datos!Z19-(Datos!T19+Datos!AH19))/(Datos!T19+Datos!AH19))," - ")</f>
        <v>0.12801678908709338</v>
      </c>
      <c r="D19" s="801">
        <f>IF(ISNUMBER(
   IF(J_V="SI",(Datos!K19-Datos!U19)/Datos!U19,(Datos!K19+Datos!AA19-(Datos!U19+Datos!AI19))/(Datos!U19+Datos!AI19))
     ),IF(J_V="SI",(Datos!K19-Datos!U19)/Datos!U19,(Datos!K19+Datos!AA19-(Datos!U19+Datos!AI19))/(Datos!U19+Datos!AI19))," - ")</f>
        <v>-0.24342105263157895</v>
      </c>
      <c r="E19" s="801">
        <f>IF(ISNUMBER(
   IF(J_V="SI",(Datos!L19-Datos!V19)/Datos!V19,(Datos!L19+Datos!AB19-(Datos!V19+Datos!AJ19))/(Datos!V19+Datos!AJ19))
     ),IF(J_V="SI",(Datos!L19-Datos!V19)/Datos!V19,(Datos!L19+Datos!AB19-(Datos!V19+Datos!AJ19))/(Datos!V19+Datos!AJ19))," - ")</f>
        <v>0.1976981622424355</v>
      </c>
      <c r="F19" s="802">
        <f>IF(ISNUMBER((Datos!M19-Datos!W19)/Datos!W19),(Datos!M19-Datos!W19)/Datos!W19," - ")</f>
        <v>-0.49357326478149099</v>
      </c>
      <c r="G19" s="803">
        <f>IF(ISNUMBER((Datos!N19-Datos!X19)/Datos!X19),(Datos!N19-Datos!X19)/Datos!X19," - ")</f>
        <v>-0.25036818851251841</v>
      </c>
      <c r="H19" s="804">
        <f>IF(ISNUMBER((Tasas!B19-Datos!BD19)/Datos!BD19),(Tasas!B19-Datos!BD19)/Datos!BD19," - ")</f>
        <v>-0.32928396572827417</v>
      </c>
      <c r="I19" s="805">
        <f>IF(ISNUMBER((Tasas!C19-Datos!BE19)/Datos!BE19),(Tasas!C19-Datos!BE19)/Datos!BE19," - ")</f>
        <v>0.58304452748565372</v>
      </c>
      <c r="J19" s="806">
        <f>IF(ISNUMBER((Tasas!D19-Datos!BF19)/Datos!BF19),(Tasas!D19-Datos!BF19)/Datos!BF19," - ")</f>
        <v>-0.42647002489944458</v>
      </c>
      <c r="K19" s="806">
        <f>IF(ISNUMBER((Tasas!E19-Datos!BG19)/Datos!BG19),(Tasas!E19-Datos!BG19)/Datos!BG19," - ")</f>
        <v>0.41662601297064844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4Uo2AzA9ziqNlobOhSUtJXBuEsOMQ6YKs7SChnZvguIOu5iF/0p7ktgQNQCe4I6Iip9pR5PdyHQp/SdjaAr0Q==" saltValue="wEPqcoB4aAjzsXF5lSJm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ANTEQUERA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1.0082236842105263</v>
      </c>
      <c r="C12" s="442">
        <f>IF(ISNUMBER(NºAsuntos!I12/NºAsuntos!G12),NºAsuntos!I12/NºAsuntos!G12," - ")</f>
        <v>5.4029363784665581</v>
      </c>
      <c r="D12" s="443">
        <f>IF(ISNUMBER('Resol  Asuntos'!D12/NºAsuntos!G12),'Resol  Asuntos'!D12/NºAsuntos!G12," - ")</f>
        <v>0.19738988580750408</v>
      </c>
      <c r="E12" s="444">
        <f>IF(ISNUMBER((NºAsuntos!C12+NºAsuntos!E12)/NºAsuntos!G12),(NºAsuntos!C12+NºAsuntos!E12)/NºAsuntos!G12," - ")</f>
        <v>6.4029363784665581</v>
      </c>
      <c r="G12" s="462"/>
    </row>
    <row r="13" spans="1:7" ht="14.25" thickTop="1" thickBot="1">
      <c r="A13" s="847" t="str">
        <f>Datos!A13</f>
        <v>TOTAL</v>
      </c>
      <c r="B13" s="857">
        <f>IF(ISNUMBER(NºAsuntos!G13/NºAsuntos!E13),NºAsuntos!G13/NºAsuntos!E13," - ")</f>
        <v>1.006568144499179</v>
      </c>
      <c r="C13" s="858">
        <f>IF(ISNUMBER(NºAsuntos!I13/NºAsuntos!G13),NºAsuntos!I13/NºAsuntos!G13," - ")</f>
        <v>5.427406199021207</v>
      </c>
      <c r="D13" s="859">
        <f>IF(ISNUMBER('Resol  Asuntos'!D13/NºAsuntos!G13),'Resol  Asuntos'!D13/NºAsuntos!G13," - ")</f>
        <v>0.19738988580750408</v>
      </c>
      <c r="E13" s="860">
        <f>IF(ISNUMBER((NºAsuntos!C13+NºAsuntos!E13)/NºAsuntos!G13),(NºAsuntos!C13+NºAsuntos!E13)/NºAsuntos!G13," - ")</f>
        <v>6.427406199021207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0.63946488294314385</v>
      </c>
      <c r="C16" s="442">
        <f>IF(ISNUMBER(NºAsuntos!I16/NºAsuntos!G16),NºAsuntos!I16/NºAsuntos!G16," - ")</f>
        <v>3.1956066945606696</v>
      </c>
      <c r="D16" s="443">
        <f>IF(ISNUMBER('Resol  Asuntos'!D16/NºAsuntos!G16),'Resol  Asuntos'!D16/NºAsuntos!G16," - ")</f>
        <v>7.7405857740585768E-2</v>
      </c>
      <c r="E16" s="444">
        <f>IF(ISNUMBER((NºAsuntos!C16+NºAsuntos!E16)/NºAsuntos!G16),(NºAsuntos!C16+NºAsuntos!E16)/NºAsuntos!G16," - ")</f>
        <v>4.1956066945606691</v>
      </c>
      <c r="G16" s="462"/>
    </row>
    <row r="17" spans="1:7" ht="21.75" thickBot="1">
      <c r="A17" s="401" t="str">
        <f>Datos!A17</f>
        <v>Jdos. Violencia contra la mujer/Secc Viol. TI.</v>
      </c>
      <c r="B17" s="441">
        <f>IF(ISNUMBER(NºAsuntos!G17/NºAsuntos!E17),NºAsuntos!G17/NºAsuntos!E17," - ")</f>
        <v>0.89130434782608692</v>
      </c>
      <c r="C17" s="442">
        <f>IF(ISNUMBER(NºAsuntos!I17/NºAsuntos!G17),NºAsuntos!I17/NºAsuntos!G17," - ")</f>
        <v>1.7073170731707317</v>
      </c>
      <c r="D17" s="443">
        <f>IF(ISNUMBER('Resol  Asuntos'!D17/NºAsuntos!G17),'Resol  Asuntos'!D17/NºAsuntos!G17," - ")</f>
        <v>4.878048780487805E-2</v>
      </c>
      <c r="E17" s="444">
        <f>IF(ISNUMBER((NºAsuntos!C17+NºAsuntos!E17)/NºAsuntos!G17),(NºAsuntos!C17+NºAsuntos!E17)/NºAsuntos!G17," - ")</f>
        <v>2.7073170731707319</v>
      </c>
      <c r="G17" s="462"/>
    </row>
    <row r="18" spans="1:7" ht="14.25" thickTop="1" thickBot="1">
      <c r="A18" s="847" t="str">
        <f>Datos!A18</f>
        <v>TOTAL</v>
      </c>
      <c r="B18" s="857">
        <f>IF(ISNUMBER(NºAsuntos!G18/NºAsuntos!E18),NºAsuntos!G18/NºAsuntos!E18," - ")</f>
        <v>0.64698247890979887</v>
      </c>
      <c r="C18" s="858">
        <f>IF(ISNUMBER(NºAsuntos!I18/NºAsuntos!G18),NºAsuntos!I18/NºAsuntos!G18," - ")</f>
        <v>3.1344032096288865</v>
      </c>
      <c r="D18" s="861">
        <f>IF(ISNUMBER('Resol  Asuntos'!D18/NºAsuntos!G18),'Resol  Asuntos'!D18/NºAsuntos!G18," - ")</f>
        <v>7.6228686058174525E-2</v>
      </c>
      <c r="E18" s="860">
        <f>IF(ISNUMBER((NºAsuntos!C18+NºAsuntos!E18)/NºAsuntos!G18),(NºAsuntos!C18+NºAsuntos!E18)/NºAsuntos!G18," - ")</f>
        <v>4.1344032096288865</v>
      </c>
      <c r="G18" s="462"/>
    </row>
    <row r="19" spans="1:7" ht="15.75" customHeight="1" thickTop="1" thickBot="1">
      <c r="A19" s="792" t="str">
        <f>Datos!A19</f>
        <v>TOTAL JURISDICCIONES</v>
      </c>
      <c r="B19" s="807">
        <f>IF(ISNUMBER(NºAsuntos!G19/NºAsuntos!E19),NºAsuntos!G19/NºAsuntos!E19," - ")</f>
        <v>0.74883720930232556</v>
      </c>
      <c r="C19" s="808">
        <f>IF(ISNUMBER(NºAsuntos!I19/NºAsuntos!G19),NºAsuntos!I19/NºAsuntos!G19," - ")</f>
        <v>4.007453416149068</v>
      </c>
      <c r="D19" s="809">
        <f>IF(ISNUMBER('Resol  Asuntos'!D19/NºAsuntos!G19),'Resol  Asuntos'!D19/NºAsuntos!G19," - ")</f>
        <v>0.12236024844720497</v>
      </c>
      <c r="E19" s="810">
        <f>IF(ISNUMBER((NºAsuntos!C19+NºAsuntos!E19)/NºAsuntos!G19),(NºAsuntos!C19+NºAsuntos!E19)/NºAsuntos!G19," - ")</f>
        <v>5.007453416149068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O++HYvkOyjnk/IOAPjllLKmeGhxxKKpuAD/Tl/S78rfFDV32oI3bAT+J5O01TtCKVb0U4sLDv7WdOcxucV1hg==" saltValue="m9z4Bwwoq4QeF392cUUR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ANTEQUERA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15</v>
      </c>
      <c r="AB10" s="333">
        <f>IF(ISNUMBER(Datos!R10),Datos!R10," - ")</f>
        <v>4</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v>
      </c>
      <c r="Y12" s="333">
        <f t="shared" si="0"/>
        <v>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v>
      </c>
      <c r="AJ12" s="228" t="str">
        <f>IF(ISNUMBER(Datos!BW12),Datos!BW12," - ")</f>
        <v xml:space="preserve"> - </v>
      </c>
      <c r="AK12" s="227" t="str">
        <f>IF(ISNUMBER(Datos!BX12),Datos!BX12," - ")</f>
        <v xml:space="preserve"> - </v>
      </c>
      <c r="AL12" s="242">
        <f>IF(ISNUMBER(NºAsuntos!G12/NºAsuntos!E12),NºAsuntos!G12/NºAsuntos!E12," - ")</f>
        <v>1.0082236842105263</v>
      </c>
      <c r="AM12" s="259">
        <f>IF(ISNUMBER(((NºAsuntos!I12/NºAsuntos!G12)*11)/factor_trimestre),((NºAsuntos!I12/NºAsuntos!G12)*11)/factor_trimestre," - ")</f>
        <v>16.208809135399676</v>
      </c>
      <c r="AN12" s="243">
        <f>IF(ISNUMBER('Resol  Asuntos'!D12/NºAsuntos!G12),'Resol  Asuntos'!D12/NºAsuntos!G12," - ")</f>
        <v>0.19738988580750408</v>
      </c>
      <c r="AO12" s="244">
        <f>IF(ISNUMBER((NºAsuntos!C12+NºAsuntos!E12)/NºAsuntos!G12),(NºAsuntos!C12+NºAsuntos!E12)/NºAsuntos!G12," - ")</f>
        <v>6.4029363784665581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14</v>
      </c>
      <c r="G13" s="865">
        <f t="shared" si="3"/>
        <v>14</v>
      </c>
      <c r="H13" s="864">
        <f t="shared" si="3"/>
        <v>0</v>
      </c>
      <c r="I13" s="866">
        <f t="shared" si="3"/>
        <v>0</v>
      </c>
      <c r="J13" s="866">
        <f t="shared" si="3"/>
        <v>0</v>
      </c>
      <c r="K13" s="866">
        <f t="shared" si="3"/>
        <v>0</v>
      </c>
      <c r="L13" s="866">
        <f t="shared" si="3"/>
        <v>209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83</v>
      </c>
      <c r="Y13" s="867">
        <f t="shared" si="4"/>
        <v>83</v>
      </c>
      <c r="Z13" s="867">
        <f t="shared" si="4"/>
        <v>0</v>
      </c>
      <c r="AA13" s="867">
        <f t="shared" si="4"/>
        <v>15</v>
      </c>
      <c r="AB13" s="867">
        <f t="shared" si="4"/>
        <v>4058</v>
      </c>
      <c r="AC13" s="867">
        <f t="shared" si="4"/>
        <v>19</v>
      </c>
      <c r="AD13" s="867">
        <f t="shared" si="4"/>
        <v>0</v>
      </c>
      <c r="AE13" s="871">
        <f t="shared" si="4"/>
        <v>0</v>
      </c>
      <c r="AF13" s="864">
        <f t="shared" si="4"/>
        <v>0</v>
      </c>
      <c r="AG13" s="872">
        <f t="shared" si="4"/>
        <v>0</v>
      </c>
      <c r="AH13" s="869">
        <f t="shared" si="4"/>
        <v>0</v>
      </c>
      <c r="AI13" s="864">
        <f t="shared" si="4"/>
        <v>121</v>
      </c>
      <c r="AJ13" s="866">
        <f t="shared" si="4"/>
        <v>0</v>
      </c>
      <c r="AK13" s="869">
        <f>SUBTOTAL(9,AK9:AK12)</f>
        <v>0</v>
      </c>
      <c r="AL13" s="873">
        <f>IF(ISNUMBER(NºAsuntos!G13/NºAsuntos!E13),NºAsuntos!G13/NºAsuntos!E13," - ")</f>
        <v>1.006568144499179</v>
      </c>
      <c r="AM13" s="873">
        <f>IF(ISNUMBER(((NºAsuntos!I13/NºAsuntos!G13)*11)/factor_trimestre),((NºAsuntos!I13/NºAsuntos!G13)*11)/factor_trimestre," - ")</f>
        <v>16.282218597063622</v>
      </c>
      <c r="AN13" s="874">
        <f>IF(ISNUMBER('Resol  Asuntos'!D13/NºAsuntos!G13),'Resol  Asuntos'!D13/NºAsuntos!G13," - ")</f>
        <v>0.19738988580750408</v>
      </c>
      <c r="AO13" s="875">
        <f>IF(ISNUMBER((NºAsuntos!C13+NºAsuntos!E13)/NºAsuntos!G13),(NºAsuntos!C13+NºAsuntos!E13)/NºAsuntos!G13," - ")</f>
        <v>6.427406199021207</v>
      </c>
      <c r="AP13" s="876" t="str">
        <f t="shared" si="2"/>
        <v xml:space="preserve"> - </v>
      </c>
      <c r="AQ13" s="876">
        <f>IF(ISNUMBER((H13-W13+K13)/(F13)),(H13-W13+K13)/(F13)," - ")</f>
        <v>0</v>
      </c>
      <c r="AR13" s="877">
        <f>IF(ISNUMBER((Datos!P13-Datos!Q13)/(Datos!R13-Datos!P13+Datos!Q13)),(Datos!P13-Datos!Q13)/(Datos!R13-Datos!P13+Datos!Q13)," - ")</f>
        <v>3.204476093591048E-2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2516</v>
      </c>
      <c r="G16" s="332">
        <f>IF(ISNUMBER(IF(D_I="SI",Datos!I16,Datos!I16+Datos!AC16)),IF(D_I="SI",Datos!I16,Datos!I16+Datos!AC16)," - ")</f>
        <v>2516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956</v>
      </c>
      <c r="X16" s="225">
        <f>IF(ISNUMBER(Datos!Q16),Datos!Q16," - ")</f>
        <v>20</v>
      </c>
      <c r="Y16" s="333">
        <f t="shared" ref="Y16:Y17" si="7">SUM(W16:X16)</f>
        <v>976</v>
      </c>
      <c r="Z16" s="334" t="str">
        <f>IF(ISNUMBER(Datos!CC16),Datos!CC16," - ")</f>
        <v xml:space="preserve"> - </v>
      </c>
      <c r="AA16" s="331">
        <f>IF(ISNUMBER(IF(D_I="SI",Datos!L16,Datos!L16+Datos!AF16)),IF(D_I="SI",Datos!L16,Datos!L16+Datos!AF16)," - ")</f>
        <v>3055</v>
      </c>
      <c r="AB16" s="333">
        <f>IF(ISNUMBER(Datos!R16),Datos!R16," - ")</f>
        <v>210</v>
      </c>
      <c r="AC16" s="333">
        <f t="shared" si="6"/>
        <v>3265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74</v>
      </c>
      <c r="AJ16" s="230" t="str">
        <f>IF(ISNUMBER(Datos!BW16),Datos!BW16," - ")</f>
        <v xml:space="preserve"> - </v>
      </c>
      <c r="AK16" s="231" t="str">
        <f>IF(ISNUMBER(Datos!BX16),Datos!BX16," - ")</f>
        <v xml:space="preserve"> - </v>
      </c>
      <c r="AL16" s="242">
        <f>IF(ISNUMBER(NºAsuntos!G16/NºAsuntos!E16),NºAsuntos!G16/NºAsuntos!E16," - ")</f>
        <v>0.63946488294314385</v>
      </c>
      <c r="AM16" s="259">
        <f>IF(ISNUMBER(((NºAsuntos!I16/NºAsuntos!G16)*11)/factor_trimestre),((NºAsuntos!I16/NºAsuntos!G16)*11)/factor_trimestre," - ")</f>
        <v>9.5868200836820101</v>
      </c>
      <c r="AN16" s="243">
        <f>IF(ISNUMBER('Resol  Asuntos'!D16/NºAsuntos!G16),'Resol  Asuntos'!D16/NºAsuntos!G16," - ")</f>
        <v>7.7405857740585768E-2</v>
      </c>
      <c r="AO16" s="244">
        <f>IF(ISNUMBER((NºAsuntos!C16+NºAsuntos!E16)/NºAsuntos!G16),(NºAsuntos!C16+NºAsuntos!E16)/NºAsuntos!G16," - ")</f>
        <v>4.1956066945606691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0</v>
      </c>
      <c r="Y17" s="333">
        <f t="shared" si="7"/>
        <v>41</v>
      </c>
      <c r="Z17" s="334" t="str">
        <f>IF(ISNUMBER(Datos!CC17),Datos!CC17," - ")</f>
        <v xml:space="preserve"> - </v>
      </c>
      <c r="AA17" s="331">
        <f>IF(ISNUMBER(Datos!L17),Datos!L17,"-")</f>
        <v>70</v>
      </c>
      <c r="AB17" s="333">
        <f>IF(ISNUMBER(Datos!R17),Datos!R17," - ")</f>
        <v>0</v>
      </c>
      <c r="AC17" s="333">
        <f t="shared" si="6"/>
        <v>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0.89130434782608692</v>
      </c>
      <c r="AM17" s="259">
        <f>IF(ISNUMBER(((NºAsuntos!I17/NºAsuntos!G17)*11)/factor_trimestre),((NºAsuntos!I17/NºAsuntos!G17)*11)/factor_trimestre," - ")</f>
        <v>5.1219512195121952</v>
      </c>
      <c r="AN17" s="243">
        <f>IF(ISNUMBER('Resol  Asuntos'!D17/NºAsuntos!G17),'Resol  Asuntos'!D17/NºAsuntos!G17," - ")</f>
        <v>4.878048780487805E-2</v>
      </c>
      <c r="AO17" s="244">
        <f>IF(ISNUMBER((NºAsuntos!C17+NºAsuntos!E17)/NºAsuntos!G17),(NºAsuntos!C17+NºAsuntos!E17)/NºAsuntos!G17," - ")</f>
        <v>2.7073170731707319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2516</v>
      </c>
      <c r="G18" s="865">
        <f>SUBTOTAL(9,G15:G17)</f>
        <v>2581</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997</v>
      </c>
      <c r="X18" s="866">
        <f t="shared" si="11"/>
        <v>20</v>
      </c>
      <c r="Y18" s="867">
        <f t="shared" si="11"/>
        <v>1017</v>
      </c>
      <c r="Z18" s="867">
        <f t="shared" si="11"/>
        <v>0</v>
      </c>
      <c r="AA18" s="867">
        <f t="shared" si="11"/>
        <v>3125</v>
      </c>
      <c r="AB18" s="867">
        <f t="shared" si="11"/>
        <v>210</v>
      </c>
      <c r="AC18" s="867">
        <f t="shared" si="11"/>
        <v>3335</v>
      </c>
      <c r="AD18" s="867">
        <f t="shared" si="11"/>
        <v>0</v>
      </c>
      <c r="AE18" s="871">
        <f t="shared" si="11"/>
        <v>0</v>
      </c>
      <c r="AF18" s="864">
        <f t="shared" si="11"/>
        <v>0</v>
      </c>
      <c r="AG18" s="872">
        <f t="shared" si="11"/>
        <v>0</v>
      </c>
      <c r="AH18" s="869">
        <f t="shared" si="11"/>
        <v>0</v>
      </c>
      <c r="AI18" s="864">
        <f t="shared" si="11"/>
        <v>76</v>
      </c>
      <c r="AJ18" s="866">
        <f t="shared" si="11"/>
        <v>0</v>
      </c>
      <c r="AK18" s="869">
        <f t="shared" si="11"/>
        <v>0</v>
      </c>
      <c r="AL18" s="873">
        <f>IF(ISNUMBER(NºAsuntos!G18/NºAsuntos!E18),NºAsuntos!G18/NºAsuntos!E18," - ")</f>
        <v>0.64698247890979887</v>
      </c>
      <c r="AM18" s="873">
        <f>IF(ISNUMBER(((NºAsuntos!I18/NºAsuntos!G18)*11)/factor_trimestre),((NºAsuntos!I18/NºAsuntos!G18)*11)/factor_trimestre," - ")</f>
        <v>9.4032096288866587</v>
      </c>
      <c r="AN18" s="874">
        <f>IF(ISNUMBER('Resol  Asuntos'!D18/NºAsuntos!G18),'Resol  Asuntos'!D18/NºAsuntos!G18," - ")</f>
        <v>7.6228686058174525E-2</v>
      </c>
      <c r="AO18" s="875">
        <f>IF(ISNUMBER((NºAsuntos!C18+NºAsuntos!E18)/NºAsuntos!G18),(NºAsuntos!C18+NºAsuntos!E18)/NºAsuntos!G18," - ")</f>
        <v>4.1344032096288865</v>
      </c>
      <c r="AP18" s="876" t="str">
        <f t="shared" si="2"/>
        <v xml:space="preserve"> - </v>
      </c>
      <c r="AQ18" s="876">
        <f>IF(ISNUMBER((H18-W18+K18)/(F18)),(H18-W18+K18)/(F18)," - ")</f>
        <v>-0.3962639109697933</v>
      </c>
      <c r="AR18" s="877">
        <f>IF(ISNUMBER((Datos!P18-Datos!Q18)/(Datos!R18-Datos!P18+Datos!Q18)),(Datos!P18-Datos!Q18)/(Datos!R18-Datos!P18+Datos!Q18)," - ")</f>
        <v>-4.7393364928909956E-3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2530</v>
      </c>
      <c r="G19" s="820">
        <f t="shared" si="13"/>
        <v>2595</v>
      </c>
      <c r="H19" s="819">
        <f t="shared" si="13"/>
        <v>0</v>
      </c>
      <c r="I19" s="821">
        <f t="shared" si="13"/>
        <v>0</v>
      </c>
      <c r="J19" s="821">
        <f t="shared" si="13"/>
        <v>0</v>
      </c>
      <c r="K19" s="880">
        <f t="shared" si="13"/>
        <v>0</v>
      </c>
      <c r="L19" s="821">
        <f t="shared" si="13"/>
        <v>228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997</v>
      </c>
      <c r="X19" s="820">
        <f t="shared" si="14"/>
        <v>103</v>
      </c>
      <c r="Y19" s="827">
        <f t="shared" si="14"/>
        <v>1100</v>
      </c>
      <c r="Z19" s="827">
        <f t="shared" si="14"/>
        <v>0</v>
      </c>
      <c r="AA19" s="827">
        <f t="shared" si="14"/>
        <v>3140</v>
      </c>
      <c r="AB19" s="827">
        <f t="shared" si="14"/>
        <v>4268</v>
      </c>
      <c r="AC19" s="827">
        <f t="shared" si="14"/>
        <v>3354</v>
      </c>
      <c r="AD19" s="827">
        <f t="shared" si="14"/>
        <v>0</v>
      </c>
      <c r="AE19" s="829">
        <f t="shared" si="14"/>
        <v>0</v>
      </c>
      <c r="AF19" s="830">
        <f t="shared" si="14"/>
        <v>0</v>
      </c>
      <c r="AG19" s="831">
        <f t="shared" si="14"/>
        <v>0</v>
      </c>
      <c r="AH19" s="829">
        <f t="shared" si="14"/>
        <v>0</v>
      </c>
      <c r="AI19" s="819">
        <f t="shared" si="14"/>
        <v>197</v>
      </c>
      <c r="AJ19" s="819">
        <f t="shared" si="14"/>
        <v>0</v>
      </c>
      <c r="AK19" s="829">
        <f t="shared" si="14"/>
        <v>0</v>
      </c>
      <c r="AL19" s="883">
        <f>IF(ISNUMBER(NºAsuntos!G19/NºAsuntos!E19),NºAsuntos!G19/NºAsuntos!E19," - ")</f>
        <v>0.74883720930232556</v>
      </c>
      <c r="AM19" s="884">
        <f>IF(ISNUMBER(((NºAsuntos!I19/NºAsuntos!G19)*11)/factor_trimestre),((NºAsuntos!I19/NºAsuntos!G19)*11)/factor_trimestre," - ")</f>
        <v>12.022360248447205</v>
      </c>
      <c r="AN19" s="884">
        <f>IF(ISNUMBER('Resol  Asuntos'!D19/NºAsuntos!G19),'Resol  Asuntos'!D19/NºAsuntos!G19," - ")</f>
        <v>0.12236024844720497</v>
      </c>
      <c r="AO19" s="885">
        <f>IF(ISNUMBER((NºAsuntos!C19+NºAsuntos!E19)/NºAsuntos!G19),(NºAsuntos!C19+NºAsuntos!E19)/NºAsuntos!G19," - ")</f>
        <v>5.007453416149068</v>
      </c>
      <c r="AP19" s="886" t="str">
        <f t="shared" si="2"/>
        <v xml:space="preserve"> - </v>
      </c>
      <c r="AQ19" s="887">
        <f>IF(OR(ISNUMBER(FIND("01",Criterios!A8,1)),ISNUMBER(FIND("02",Criterios!A8,1)),ISNUMBER(FIND("03",Criterios!A8,1)),ISNUMBER(FIND("04",Criterios!A8,1))),(I19-W19+K19)/(F19-K19),(H19-W19+K19)/(F19-K19))</f>
        <v>-0.39407114624505929</v>
      </c>
      <c r="AR19" s="888">
        <f>IF(ISNUMBER((Datos!P19-Datos!Q19)/(Datos!R19-Datos!P19+Datos!Q19)),(Datos!P19-Datos!Q19)/(Datos!R19-Datos!P19+Datos!Q19)," - ")</f>
        <v>3.017137340091721E-2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1444.5303735124437</v>
      </c>
      <c r="G21" s="252">
        <f>IF(ISNUMBER(STDEV(G8:G18)),STDEV(G8:G18),"-")</f>
        <v>1379.2401893796455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527.83018102416236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54.157794145133593</v>
      </c>
      <c r="AJ21" s="251">
        <f t="shared" si="18"/>
        <v>0</v>
      </c>
      <c r="AK21" s="253">
        <f t="shared" si="18"/>
        <v>0</v>
      </c>
      <c r="AL21" s="248">
        <f t="shared" si="18"/>
        <v>0.38001297654075455</v>
      </c>
      <c r="AM21" s="249">
        <f t="shared" si="18"/>
        <v>4.837816475214467</v>
      </c>
      <c r="AN21" s="249">
        <f t="shared" si="18"/>
        <v>7.2075000556921232E-2</v>
      </c>
      <c r="AO21" s="250">
        <f t="shared" si="18"/>
        <v>1.6126054917381545</v>
      </c>
      <c r="AP21" s="290" t="str">
        <f t="shared" si="18"/>
        <v>-</v>
      </c>
      <c r="AQ21" s="291">
        <f t="shared" si="18"/>
        <v>0.2802008985862432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aYD9ITv1hF2gtCxOoJ5pKiqEpcML/+TOndMyujLBUfwD2kQTu3G0cwDWnxVWyOAkwPZgBB4ZNUY49WqIZ+4Bw==" saltValue="81n1zmrRH5P4R0M8Ww+f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ANTEQUERA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v>
      </c>
      <c r="F10" s="347" t="str">
        <f>IF(ISNUMBER((Datos!K10-Datos!U10)/Datos!U10),(Datos!K10-Datos!U10)/Datos!U10," - ")</f>
        <v xml:space="preserve"> - </v>
      </c>
      <c r="G10" s="348">
        <f>IF(ISNUMBER((Datos!L10-Datos!V10)/Datos!V10),(Datos!L10-Datos!V10)/Datos!V10," - ")</f>
        <v>0.36363636363636365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-0.53816793893129766</v>
      </c>
      <c r="I12" s="349">
        <f>IF(ISNUMBER((Tasas!C12-Datos!BE12)/Datos!BE12),(Tasas!C12-Datos!BE12)/Datos!BE12," - ")</f>
        <v>0.47592408387379154</v>
      </c>
      <c r="J12" s="348">
        <f>IF(ISNUMBER((Tasas!D12-Datos!BF12)/Datos!BF12),(Tasas!D12-Datos!BF12)/Datos!BF12," - ")</f>
        <v>-0.49294341260457669</v>
      </c>
      <c r="K12" s="350">
        <f>IF(ISNUMBER((Tasas!E12-Datos!BG12)/Datos!BG12),(Tasas!E12-Datos!BG12)/Datos!BG12," - ")</f>
        <v>0.37381010419205846</v>
      </c>
      <c r="M12" t="e">
        <f>IF(Monitorios="SI",Datos!CE12,0)</f>
        <v>#REF!</v>
      </c>
      <c r="N12" t="e">
        <f>IF(Monitorios="SI",Datos!CF12,0)</f>
        <v>#REF!</v>
      </c>
      <c r="O12" t="e">
        <f>IF(Monitorios="SI",Datos!CG12,0)</f>
        <v>#REF!</v>
      </c>
      <c r="P12" t="e">
        <f>IF(Monitorios="SI",Datos!CH12,0)</f>
        <v>#REF!</v>
      </c>
      <c r="Q12">
        <f>IF(J_V="SI",0,Datos!AG12)</f>
        <v>171</v>
      </c>
      <c r="R12">
        <f>IF(J_V="SI",0,Datos!AH12)</f>
        <v>35</v>
      </c>
      <c r="S12">
        <f>IF(J_V="SI",0,Datos!AI12)</f>
        <v>47</v>
      </c>
      <c r="T12">
        <f>IF(J_V="SI",0,Datos!AJ12)</f>
        <v>158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-0.53816793893129766</v>
      </c>
      <c r="I13" s="356">
        <f>IF(ISNUMBER((Tasas!C13-Datos!BE13)/Datos!BE13),(Tasas!C13-Datos!BE13)/Datos!BE13," - ")</f>
        <v>0.47732378716066565</v>
      </c>
      <c r="J13" s="354">
        <f>IF(ISNUMBER((Tasas!D13-Datos!BF13)/Datos!BF13),(Tasas!D13-Datos!BF13)/Datos!BF13," - ")</f>
        <v>-0.49294341260457669</v>
      </c>
      <c r="K13" s="357">
        <f>IF(ISNUMBER((Tasas!E13-Datos!BG13)/Datos!BG13),(Tasas!E13-Datos!BG13)/Datos!BG13," - ")</f>
        <v>0.37519643585782314</v>
      </c>
      <c r="M13" t="e">
        <f>IF(Monitorios="SI",Datos!CE13,0)</f>
        <v>#REF!</v>
      </c>
      <c r="N13" t="e">
        <f>IF(Monitorios="SI",Datos!CF13,0)</f>
        <v>#REF!</v>
      </c>
      <c r="O13" t="e">
        <f>IF(Monitorios="SI",Datos!CG13,0)</f>
        <v>#REF!</v>
      </c>
      <c r="P13" t="e">
        <f>IF(Monitorios="SI",Datos!CH13,0)</f>
        <v>#REF!</v>
      </c>
      <c r="Q13">
        <f>IF(J_V="SI",0,Datos!AG13)</f>
        <v>171</v>
      </c>
      <c r="R13">
        <f>IF(J_V="SI",0,Datos!AH13)</f>
        <v>35</v>
      </c>
      <c r="S13">
        <f>IF(J_V="SI",0,Datos!AI13)</f>
        <v>47</v>
      </c>
      <c r="T13">
        <f>IF(J_V="SI",0,Datos!AJ13)</f>
        <v>158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8.0128205128205121E-3</v>
      </c>
      <c r="E16" s="347">
        <f>IF(ISNUMBER(
   IF(D_I="SI",(Datos!J16-Datos!T16)/Datos!T16,(Datos!J16+Datos!AD16-(Datos!T16+Datos!AL16))/(Datos!T16+Datos!AL16))
     ),IF(D_I="SI",(Datos!J16-Datos!T16)/Datos!T16,(Datos!J16+Datos!AD16-(Datos!T16+Datos!AL16))/(Datos!T16+Datos!AL16))," - ")</f>
        <v>0.56873032528856249</v>
      </c>
      <c r="F16" s="347">
        <f>IF(ISNUMBER(
   IF(D_I="SI",(Datos!K16-Datos!U16)/Datos!U16,(Datos!K16+Datos!AE16-(Datos!U16+Datos!AM16))/(Datos!U16+Datos!AM16))
     ),IF(D_I="SI",(Datos!K16-Datos!U16)/Datos!U16,(Datos!K16+Datos!AE16-(Datos!U16+Datos!AM16))/(Datos!U16+Datos!AM16))," - ")</f>
        <v>-0.21895424836601307</v>
      </c>
      <c r="G16" s="348">
        <f>IF(ISNUMBER(
   IF(D_I="SI",(Datos!L16-Datos!V16)/Datos!V16,(Datos!L16+Datos!AF16-(Datos!V16+Datos!AN16))/(Datos!V16+Datos!AN16))
     ),IF(D_I="SI",(Datos!L16-Datos!V16)/Datos!V16,(Datos!L16+Datos!AF16-(Datos!V16+Datos!AN16))/(Datos!V16+Datos!AN16))," - ")</f>
        <v>0.37736699729486023</v>
      </c>
      <c r="H16" s="229">
        <f>IF(ISNUMBER((Datos!M16-Datos!W16)/Datos!W16),(Datos!M16-Datos!W16)/Datos!W16," - ")</f>
        <v>-0.36752136752136755</v>
      </c>
      <c r="I16" s="349">
        <f>IF(ISNUMBER((Tasas!C16-Datos!BE16)/Datos!BE16),(Tasas!C16-Datos!BE16)/Datos!BE16," - ")</f>
        <v>0.76349079988379598</v>
      </c>
      <c r="J16" s="348">
        <f>IF(ISNUMBER((Tasas!D16-Datos!BF16)/Datos!BF16),(Tasas!D16-Datos!BF16)/Datos!BF16," - ")</f>
        <v>-0.19021564209848729</v>
      </c>
      <c r="K16" s="350">
        <f>IF(ISNUMBER((Tasas!E16-Datos!BG16)/Datos!BG16),(Tasas!E16-Datos!BG16)/Datos!BG16," - ")</f>
        <v>0.48895987072840202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-0.35643564356435642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-0.359375</v>
      </c>
      <c r="G17" s="348">
        <f>IF(ISNUMBER(
   IF(D_I="SI",(Datos!L17-Datos!V17)/Datos!V17,(Datos!L17+Datos!AF17-(Datos!V17+Datos!AN17))/(Datos!V17+Datos!AN17))
     ),IF(D_I="SI",(Datos!L17-Datos!V17)/Datos!V17,(Datos!L17+Datos!AF17-(Datos!V17+Datos!AN17))/(Datos!V17+Datos!AN17))," - ")</f>
        <v>-0.15662650602409639</v>
      </c>
      <c r="H17" s="229">
        <f>IF(ISNUMBER((Datos!M17-Datos!W17)/Datos!W17),(Datos!M17-Datos!W17)/Datos!W17," - ")</f>
        <v>-0.8</v>
      </c>
      <c r="I17" s="349">
        <f>IF(ISNUMBER((Tasas!C17-Datos!BE17)/Datos!BE17),(Tasas!C17-Datos!BE17)/Datos!BE17," - ")</f>
        <v>0.31648545401116657</v>
      </c>
      <c r="J17" s="348">
        <f>IF(ISNUMBER((Tasas!D17-Datos!BF17)/Datos!BF17),(Tasas!D17-Datos!BF17)/Datos!BF17," - ")</f>
        <v>-0.68780487804878043</v>
      </c>
      <c r="K17" s="350">
        <f>IF(ISNUMBER((Tasas!E17-Datos!BG17)/Datos!BG17),(Tasas!E17-Datos!BG17)/Datos!BG17," - ")</f>
        <v>0.17869586859133904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-6.1609549480169425E-3</v>
      </c>
      <c r="E18" s="353">
        <f>IF(ISNUMBER(
   IF(D_I="SI",(Datos!J18-Datos!T18)/Datos!T18,(Datos!J18+Datos!AD18-(Datos!T18+Datos!AL18))/(Datos!T18+Datos!AL18))
     ),IF(D_I="SI",(Datos!J18-Datos!T18)/Datos!T18,(Datos!J18+Datos!AD18-(Datos!T18+Datos!AL18))/(Datos!T18+Datos!AL18))," - ")</f>
        <v>0.54254254254254253</v>
      </c>
      <c r="F18" s="353">
        <f>IF(ISNUMBER(
   IF(D_I="SI",(Datos!K18-Datos!U18)/Datos!U18,(Datos!K18+Datos!AE18-(Datos!U18+Datos!AM18))/(Datos!U18+Datos!AM18))
     ),IF(D_I="SI",(Datos!K18-Datos!U18)/Datos!U18,(Datos!K18+Datos!AE18-(Datos!U18+Datos!AM18))/(Datos!U18+Datos!AM18))," - ")</f>
        <v>-0.22593167701863354</v>
      </c>
      <c r="G18" s="354">
        <f>IF(ISNUMBER(
   IF(D_I="SI",(Datos!L18-Datos!V18)/Datos!V18,(Datos!L18+Datos!AF18-(Datos!V18+Datos!AN18))/(Datos!V18+Datos!AN18))
     ),IF(D_I="SI",(Datos!L18-Datos!V18)/Datos!V18,(Datos!L18+Datos!AF18-(Datos!V18+Datos!AN18))/(Datos!V18+Datos!AN18))," - ")</f>
        <v>0.35810517166449368</v>
      </c>
      <c r="H18" s="355">
        <f>IF(ISNUMBER((Datos!M18-Datos!W18)/Datos!W18),(Datos!M18-Datos!W18)/Datos!W18," - ")</f>
        <v>-0.40157480314960631</v>
      </c>
      <c r="I18" s="356">
        <f>IF(ISNUMBER((Tasas!C18-Datos!BE18)/Datos!BE18),(Tasas!C18-Datos!BE18)/Datos!BE18," - ")</f>
        <v>0.75450297001390942</v>
      </c>
      <c r="J18" s="354">
        <f>IF(ISNUMBER((Tasas!D18-Datos!BF18)/Datos!BF18),(Tasas!D18-Datos!BF18)/Datos!BF18," - ")</f>
        <v>-0.22690907367772611</v>
      </c>
      <c r="K18" s="357">
        <f>IF(ISNUMBER((Tasas!E18-Datos!BG18)/Datos!BG18),(Tasas!E18-Datos!BG18)/Datos!BG18," - ")</f>
        <v>0.48084297386040198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5.2706552706552709E-2</v>
      </c>
      <c r="E19" s="362">
        <f>IF(ISNUMBER(
   IF(J_V="SI",(Datos!J19-Datos!T19)/Datos!T19,(Datos!J19+Datos!Z19-(Datos!T19+Datos!AH19))/(Datos!T19+Datos!AH19))
     ),IF(J_V="SI",(Datos!J19-Datos!T19)/Datos!T19,(Datos!J19+Datos!Z19-(Datos!T19+Datos!AH19))/(Datos!T19+Datos!AH19))," - ")</f>
        <v>0.12801678908709338</v>
      </c>
      <c r="F19" s="362">
        <f>IF(ISNUMBER(
   IF(J_V="SI",(Datos!K19-Datos!U19)/Datos!U19,(Datos!K19+Datos!AA19-(Datos!U19+Datos!AI19))/(Datos!U19+Datos!AI19))
     ),IF(J_V="SI",(Datos!K19-Datos!U19)/Datos!U19,(Datos!K19+Datos!AA19-(Datos!U19+Datos!AI19))/(Datos!U19+Datos!AI19))," - ")</f>
        <v>-0.24342105263157895</v>
      </c>
      <c r="G19" s="363">
        <f>IF(ISNUMBER(
   IF(J_V="SI",(Datos!L19-Datos!V19)/Datos!V19,(Datos!L19+Datos!AB19-(Datos!V19+Datos!AJ19))/(Datos!V19+Datos!AJ19))
     ),IF(J_V="SI",(Datos!L19-Datos!V19)/Datos!V19,(Datos!L19+Datos!AB19-(Datos!V19+Datos!AJ19))/(Datos!V19+Datos!AJ19))," - ")</f>
        <v>0.1976981622424355</v>
      </c>
      <c r="H19" s="364">
        <f>IF(ISNUMBER((Datos!M19-Datos!W19)/Datos!W19),(Datos!M19-Datos!W19)/Datos!W19," - ")</f>
        <v>-0.49357326478149099</v>
      </c>
      <c r="I19" s="361">
        <f>IF(ISNUMBER((Tasas!C19-Datos!BE19)/Datos!BE19),(Tasas!C19-Datos!BE19)/Datos!BE19," - ")</f>
        <v>0.58304452748565372</v>
      </c>
      <c r="J19" s="362">
        <f>IF(ISNUMBER((Tasas!D19-Datos!BF19)/Datos!BF19),(Tasas!D19-Datos!BF19)/Datos!BF19," - ")</f>
        <v>-0.42647002489944458</v>
      </c>
      <c r="K19" s="363">
        <f>IF(ISNUMBER((Tasas!E19-Datos!BG19)/Datos!BG19),(Tasas!E19-Datos!BG19)/Datos!BG19," - ")</f>
        <v>0.41662601297064844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0.30910239530851297</v>
      </c>
      <c r="E21" s="277">
        <f t="shared" si="1"/>
        <v>0.32097494537578708</v>
      </c>
      <c r="F21" s="277">
        <f t="shared" si="1"/>
        <v>7.9134687346284815E-2</v>
      </c>
      <c r="G21" s="278">
        <f t="shared" si="1"/>
        <v>0.26162335482238075</v>
      </c>
      <c r="H21" s="284">
        <f t="shared" si="1"/>
        <v>0.17023630224987213</v>
      </c>
      <c r="I21" s="276">
        <f t="shared" si="1"/>
        <v>0.19520068909454238</v>
      </c>
      <c r="J21" s="277">
        <f t="shared" si="1"/>
        <v>0.20762287020211564</v>
      </c>
      <c r="K21" s="278">
        <f t="shared" si="1"/>
        <v>0.12512499392072612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v+GFisVpCZC21glVUXWLAWAfDwqRTL9VkmoK4ZaPb5shdQV5bFTas4FR/oUa9GUR5aU2gfS0BboFlURjNMx7w==" saltValue="mSFBeMXcYszusOSBSQ7A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